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40D41627-3F0B-4BE7-9DE1-DDB56DFD3E49}" xr6:coauthVersionLast="47" xr6:coauthVersionMax="47" xr10:uidLastSave="{00000000-0000-0000-0000-000000000000}"/>
  <bookViews>
    <workbookView xWindow="28702" yWindow="-98" windowWidth="28995" windowHeight="15796"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44460.6640277778</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7" l="1"/>
  <c r="H9" i="7"/>
  <c r="I9" i="7"/>
  <c r="J9" i="7"/>
  <c r="G10" i="7"/>
  <c r="H10" i="7"/>
  <c r="I10" i="7"/>
  <c r="J102" i="1" s="1"/>
  <c r="J10" i="7"/>
  <c r="K102" i="1" s="1"/>
  <c r="G11" i="7"/>
  <c r="H11" i="7"/>
  <c r="I11" i="7"/>
  <c r="J11" i="7"/>
  <c r="O11" i="7"/>
  <c r="G12" i="7"/>
  <c r="H12" i="7"/>
  <c r="I12" i="7"/>
  <c r="J12" i="7"/>
  <c r="O12" i="7"/>
  <c r="G13" i="7"/>
  <c r="H13" i="7"/>
  <c r="I13" i="7"/>
  <c r="J13" i="7"/>
  <c r="O13" i="7"/>
  <c r="E31" i="1" s="1"/>
  <c r="G14" i="7"/>
  <c r="H106" i="1" s="1"/>
  <c r="H14" i="7"/>
  <c r="I106" i="1" s="1"/>
  <c r="I14" i="7"/>
  <c r="J106" i="1" s="1"/>
  <c r="J14" i="7"/>
  <c r="O14" i="7"/>
  <c r="E32" i="1" s="1"/>
  <c r="G15" i="7"/>
  <c r="H15" i="7"/>
  <c r="I15" i="7"/>
  <c r="J15" i="7"/>
  <c r="G16" i="7"/>
  <c r="H16" i="7"/>
  <c r="I16" i="7"/>
  <c r="J16" i="7"/>
  <c r="G17" i="7"/>
  <c r="H17" i="7"/>
  <c r="I17" i="7"/>
  <c r="J109" i="1" s="1"/>
  <c r="J17" i="7"/>
  <c r="K109" i="1" s="1"/>
  <c r="O17" i="7"/>
  <c r="G18" i="7"/>
  <c r="H110" i="1" s="1"/>
  <c r="H18" i="7"/>
  <c r="I18" i="7"/>
  <c r="J18" i="7"/>
  <c r="G19" i="7"/>
  <c r="H19" i="7"/>
  <c r="I19" i="7"/>
  <c r="J19" i="7"/>
  <c r="G20" i="7"/>
  <c r="H20" i="7"/>
  <c r="I20" i="7"/>
  <c r="J20" i="7"/>
  <c r="O22" i="7"/>
  <c r="O52" i="7"/>
  <c r="B64" i="7"/>
  <c r="C64" i="7"/>
  <c r="D64" i="7"/>
  <c r="E64" i="7"/>
  <c r="G64" i="7"/>
  <c r="H64" i="7"/>
  <c r="I64" i="7"/>
  <c r="J64" i="7"/>
  <c r="G224" i="7"/>
  <c r="H224" i="7"/>
  <c r="I224" i="7"/>
  <c r="J224" i="7"/>
  <c r="G225" i="7"/>
  <c r="H225" i="7"/>
  <c r="I225" i="7"/>
  <c r="J225" i="7"/>
  <c r="G226" i="7"/>
  <c r="H226" i="7"/>
  <c r="I226" i="7"/>
  <c r="J226" i="7"/>
  <c r="O226" i="7"/>
  <c r="G227" i="7"/>
  <c r="H227" i="7"/>
  <c r="I227" i="7"/>
  <c r="J227" i="7"/>
  <c r="O227" i="7"/>
  <c r="G228" i="7"/>
  <c r="H228" i="7"/>
  <c r="I228" i="7"/>
  <c r="J228" i="7"/>
  <c r="O228" i="7"/>
  <c r="G229" i="7"/>
  <c r="H229" i="7"/>
  <c r="I229" i="7"/>
  <c r="J229" i="7"/>
  <c r="O229" i="7"/>
  <c r="G230" i="7"/>
  <c r="H230" i="7"/>
  <c r="I230" i="7"/>
  <c r="J230" i="7"/>
  <c r="G231" i="7"/>
  <c r="H231" i="7"/>
  <c r="I231" i="7"/>
  <c r="J231" i="7"/>
  <c r="G232" i="7"/>
  <c r="H232" i="7"/>
  <c r="I232" i="7"/>
  <c r="J232" i="7"/>
  <c r="O232" i="7"/>
  <c r="G233" i="7"/>
  <c r="H233" i="7"/>
  <c r="I233" i="7"/>
  <c r="J233" i="7"/>
  <c r="G234" i="7"/>
  <c r="H234" i="7"/>
  <c r="I234" i="7"/>
  <c r="J234" i="7"/>
  <c r="G235" i="7"/>
  <c r="H235" i="7"/>
  <c r="I235" i="7"/>
  <c r="J235" i="7"/>
  <c r="G262" i="7"/>
  <c r="H262" i="7"/>
  <c r="I262" i="7"/>
  <c r="J262" i="7"/>
  <c r="G263" i="7"/>
  <c r="H263" i="7"/>
  <c r="I263" i="7"/>
  <c r="J263" i="7"/>
  <c r="G264" i="7"/>
  <c r="H264" i="7"/>
  <c r="I264" i="7"/>
  <c r="J264" i="7"/>
  <c r="O264" i="7"/>
  <c r="G265" i="7"/>
  <c r="H265" i="7"/>
  <c r="I265" i="7"/>
  <c r="J265" i="7"/>
  <c r="O265" i="7"/>
  <c r="G266" i="7"/>
  <c r="H266" i="7"/>
  <c r="I266" i="7"/>
  <c r="J266" i="7"/>
  <c r="O266" i="7"/>
  <c r="G267" i="7"/>
  <c r="H267" i="7"/>
  <c r="I267" i="7"/>
  <c r="J267" i="7"/>
  <c r="O267" i="7"/>
  <c r="G268" i="7"/>
  <c r="H268" i="7"/>
  <c r="I268" i="7"/>
  <c r="J268" i="7"/>
  <c r="G269" i="7"/>
  <c r="H269" i="7"/>
  <c r="I269" i="7"/>
  <c r="J269" i="7"/>
  <c r="G270" i="7"/>
  <c r="H270" i="7"/>
  <c r="I270" i="7"/>
  <c r="J270" i="7"/>
  <c r="G271" i="7"/>
  <c r="H271" i="7"/>
  <c r="I271" i="7"/>
  <c r="J271" i="7"/>
  <c r="G272" i="7"/>
  <c r="H272" i="7"/>
  <c r="I272" i="7"/>
  <c r="J272" i="7"/>
  <c r="G273" i="7"/>
  <c r="H273" i="7"/>
  <c r="I273" i="7"/>
  <c r="J273" i="7"/>
  <c r="G342" i="7"/>
  <c r="H342" i="7"/>
  <c r="I342" i="7"/>
  <c r="J342" i="7"/>
  <c r="G343" i="7"/>
  <c r="H343" i="7"/>
  <c r="I343" i="7"/>
  <c r="J343" i="7"/>
  <c r="G344" i="7"/>
  <c r="H344" i="7"/>
  <c r="I344" i="7"/>
  <c r="J344" i="7"/>
  <c r="O344" i="7"/>
  <c r="G345" i="7"/>
  <c r="H345" i="7"/>
  <c r="I345" i="7"/>
  <c r="J345" i="7"/>
  <c r="O345" i="7"/>
  <c r="G346" i="7"/>
  <c r="H346" i="7"/>
  <c r="I346" i="7"/>
  <c r="J346" i="7"/>
  <c r="O346" i="7"/>
  <c r="G347" i="7"/>
  <c r="H347" i="7"/>
  <c r="I347" i="7"/>
  <c r="J347" i="7"/>
  <c r="O347" i="7"/>
  <c r="G348" i="7"/>
  <c r="H348" i="7"/>
  <c r="I348" i="7"/>
  <c r="J348" i="7"/>
  <c r="G349" i="7"/>
  <c r="H349" i="7"/>
  <c r="I349" i="7"/>
  <c r="J349" i="7"/>
  <c r="G350" i="7"/>
  <c r="H350" i="7"/>
  <c r="I350" i="7"/>
  <c r="J350" i="7"/>
  <c r="G351" i="7"/>
  <c r="H351" i="7"/>
  <c r="I351" i="7"/>
  <c r="J351" i="7"/>
  <c r="G352" i="7"/>
  <c r="H352" i="7"/>
  <c r="I352" i="7"/>
  <c r="J352" i="7"/>
  <c r="G353" i="7"/>
  <c r="H353" i="7"/>
  <c r="I353" i="7"/>
  <c r="J353" i="7"/>
  <c r="G361" i="7"/>
  <c r="H361" i="7"/>
  <c r="I361" i="7"/>
  <c r="J361" i="7"/>
  <c r="G362" i="7"/>
  <c r="H362" i="7"/>
  <c r="I362" i="7"/>
  <c r="J362" i="7"/>
  <c r="G363" i="7"/>
  <c r="H363" i="7"/>
  <c r="I363" i="7"/>
  <c r="J363" i="7"/>
  <c r="O363" i="7"/>
  <c r="G364" i="7"/>
  <c r="H364" i="7"/>
  <c r="I364" i="7"/>
  <c r="J364" i="7"/>
  <c r="O364" i="7"/>
  <c r="G365" i="7"/>
  <c r="H365" i="7"/>
  <c r="I365" i="7"/>
  <c r="J365" i="7"/>
  <c r="O365" i="7"/>
  <c r="G366" i="7"/>
  <c r="H366" i="7"/>
  <c r="I366" i="7"/>
  <c r="J366" i="7"/>
  <c r="O366" i="7"/>
  <c r="G367" i="7"/>
  <c r="H367" i="7"/>
  <c r="I367" i="7"/>
  <c r="J367" i="7"/>
  <c r="G368" i="7"/>
  <c r="H368" i="7"/>
  <c r="I368" i="7"/>
  <c r="J368" i="7"/>
  <c r="G369" i="7"/>
  <c r="H369" i="7"/>
  <c r="I369" i="7"/>
  <c r="J369" i="7"/>
  <c r="G370" i="7"/>
  <c r="H370" i="7"/>
  <c r="I370" i="7"/>
  <c r="J370" i="7"/>
  <c r="G371" i="7"/>
  <c r="H371" i="7"/>
  <c r="I371" i="7"/>
  <c r="J371" i="7"/>
  <c r="G372" i="7"/>
  <c r="H372" i="7"/>
  <c r="I372" i="7"/>
  <c r="J372" i="7"/>
  <c r="G397" i="7"/>
  <c r="H397" i="7"/>
  <c r="I397" i="7"/>
  <c r="J397" i="7"/>
  <c r="G398" i="7"/>
  <c r="H398" i="7"/>
  <c r="I398" i="7"/>
  <c r="J398" i="7"/>
  <c r="G399" i="7"/>
  <c r="H399" i="7"/>
  <c r="I399" i="7"/>
  <c r="J399" i="7"/>
  <c r="O399" i="7"/>
  <c r="G400" i="7"/>
  <c r="H400" i="7"/>
  <c r="I400" i="7"/>
  <c r="J400" i="7"/>
  <c r="O400" i="7"/>
  <c r="G401" i="7"/>
  <c r="H401" i="7"/>
  <c r="I401" i="7"/>
  <c r="J401" i="7"/>
  <c r="O401" i="7"/>
  <c r="G402" i="7"/>
  <c r="H402" i="7"/>
  <c r="I402" i="7"/>
  <c r="J402" i="7"/>
  <c r="O402" i="7"/>
  <c r="G403" i="7"/>
  <c r="H403" i="7"/>
  <c r="I403" i="7"/>
  <c r="J403" i="7"/>
  <c r="G404" i="7"/>
  <c r="H404" i="7"/>
  <c r="I404" i="7"/>
  <c r="J404" i="7"/>
  <c r="G405" i="7"/>
  <c r="H405" i="7"/>
  <c r="I405" i="7"/>
  <c r="J405" i="7"/>
  <c r="G406" i="7"/>
  <c r="H406" i="7"/>
  <c r="I406" i="7"/>
  <c r="J406" i="7"/>
  <c r="G407" i="7"/>
  <c r="H407" i="7"/>
  <c r="I407" i="7"/>
  <c r="J407" i="7"/>
  <c r="G408" i="7"/>
  <c r="H408" i="7"/>
  <c r="I408" i="7"/>
  <c r="J408" i="7"/>
  <c r="G417" i="7"/>
  <c r="H417" i="7"/>
  <c r="I417" i="7"/>
  <c r="J417" i="7"/>
  <c r="G418" i="7"/>
  <c r="H418" i="7"/>
  <c r="I418" i="7"/>
  <c r="J418" i="7"/>
  <c r="G419" i="7"/>
  <c r="H419" i="7"/>
  <c r="I419" i="7"/>
  <c r="J419" i="7"/>
  <c r="O419" i="7"/>
  <c r="G420" i="7"/>
  <c r="H420" i="7"/>
  <c r="I420" i="7"/>
  <c r="J420" i="7"/>
  <c r="O420" i="7"/>
  <c r="G421" i="7"/>
  <c r="H421" i="7"/>
  <c r="I421" i="7"/>
  <c r="J421" i="7"/>
  <c r="O421" i="7"/>
  <c r="G422" i="7"/>
  <c r="H422" i="7"/>
  <c r="I422" i="7"/>
  <c r="J422" i="7"/>
  <c r="O422" i="7"/>
  <c r="G423" i="7"/>
  <c r="H423" i="7"/>
  <c r="I423" i="7"/>
  <c r="J423" i="7"/>
  <c r="G424" i="7"/>
  <c r="H424" i="7"/>
  <c r="I424" i="7"/>
  <c r="J424" i="7"/>
  <c r="G425" i="7"/>
  <c r="H425" i="7"/>
  <c r="I425" i="7"/>
  <c r="J425" i="7"/>
  <c r="G426" i="7"/>
  <c r="H426" i="7"/>
  <c r="I426" i="7"/>
  <c r="J426" i="7"/>
  <c r="G427" i="7"/>
  <c r="H427" i="7"/>
  <c r="I427" i="7"/>
  <c r="J427" i="7"/>
  <c r="G428" i="7"/>
  <c r="H428" i="7"/>
  <c r="I428" i="7"/>
  <c r="J428" i="7"/>
  <c r="G538" i="7"/>
  <c r="H538" i="7"/>
  <c r="I538" i="7"/>
  <c r="J538" i="7"/>
  <c r="G539" i="7"/>
  <c r="H539" i="7"/>
  <c r="I539" i="7"/>
  <c r="J539" i="7"/>
  <c r="G540" i="7"/>
  <c r="H540" i="7"/>
  <c r="I540" i="7"/>
  <c r="J540" i="7"/>
  <c r="O540" i="7"/>
  <c r="G541" i="7"/>
  <c r="H541" i="7"/>
  <c r="I541" i="7"/>
  <c r="J541" i="7"/>
  <c r="O541" i="7"/>
  <c r="G542" i="7"/>
  <c r="H542" i="7"/>
  <c r="I542" i="7"/>
  <c r="J542" i="7"/>
  <c r="O542" i="7"/>
  <c r="G543" i="7"/>
  <c r="H543" i="7"/>
  <c r="I543" i="7"/>
  <c r="J543" i="7"/>
  <c r="O543" i="7"/>
  <c r="G544" i="7"/>
  <c r="H544" i="7"/>
  <c r="I544" i="7"/>
  <c r="J544" i="7"/>
  <c r="G545" i="7"/>
  <c r="H545" i="7"/>
  <c r="I545" i="7"/>
  <c r="J545" i="7"/>
  <c r="G546" i="7"/>
  <c r="H546" i="7"/>
  <c r="I546" i="7"/>
  <c r="J546" i="7"/>
  <c r="G547" i="7"/>
  <c r="H547" i="7"/>
  <c r="I547" i="7"/>
  <c r="J547" i="7"/>
  <c r="G548" i="7"/>
  <c r="H548" i="7"/>
  <c r="I548" i="7"/>
  <c r="J548" i="7"/>
  <c r="G607" i="7"/>
  <c r="H607" i="7"/>
  <c r="I607" i="7"/>
  <c r="J607" i="7"/>
  <c r="G608" i="7"/>
  <c r="H608" i="7"/>
  <c r="I608" i="7"/>
  <c r="J608" i="7"/>
  <c r="G609" i="7"/>
  <c r="H609" i="7"/>
  <c r="I609" i="7"/>
  <c r="J609" i="7"/>
  <c r="G610" i="7"/>
  <c r="H610" i="7"/>
  <c r="I610" i="7"/>
  <c r="J610" i="7"/>
  <c r="G611" i="7"/>
  <c r="H611" i="7"/>
  <c r="I611" i="7"/>
  <c r="J611" i="7"/>
  <c r="G612" i="7"/>
  <c r="H612" i="7"/>
  <c r="I612" i="7"/>
  <c r="J612" i="7"/>
  <c r="G613" i="7"/>
  <c r="H613" i="7"/>
  <c r="I613" i="7"/>
  <c r="J613" i="7"/>
  <c r="G614" i="7"/>
  <c r="H614" i="7"/>
  <c r="I614" i="7"/>
  <c r="J614" i="7"/>
  <c r="G615" i="7"/>
  <c r="H615" i="7"/>
  <c r="I615" i="7"/>
  <c r="J615" i="7"/>
  <c r="G616" i="7"/>
  <c r="H616" i="7"/>
  <c r="I616" i="7"/>
  <c r="J616" i="7"/>
  <c r="G617" i="7"/>
  <c r="H617" i="7"/>
  <c r="I617" i="7"/>
  <c r="J617" i="7"/>
  <c r="G623" i="7"/>
  <c r="H623" i="7"/>
  <c r="I623" i="7"/>
  <c r="J623" i="7"/>
  <c r="G624" i="7"/>
  <c r="H624" i="7"/>
  <c r="I624" i="7"/>
  <c r="J624" i="7"/>
  <c r="G625" i="7"/>
  <c r="H625" i="7"/>
  <c r="I625" i="7"/>
  <c r="J625" i="7"/>
  <c r="G626" i="7"/>
  <c r="H626" i="7"/>
  <c r="I626" i="7"/>
  <c r="J626" i="7"/>
  <c r="G627" i="7"/>
  <c r="H627" i="7"/>
  <c r="I627" i="7"/>
  <c r="J627" i="7"/>
  <c r="G628" i="7"/>
  <c r="H628" i="7"/>
  <c r="I628" i="7"/>
  <c r="J628" i="7"/>
  <c r="G629" i="7"/>
  <c r="H629" i="7"/>
  <c r="I629" i="7"/>
  <c r="J629" i="7"/>
  <c r="G630" i="7"/>
  <c r="H630" i="7"/>
  <c r="I630" i="7"/>
  <c r="J630" i="7"/>
  <c r="G631" i="7"/>
  <c r="H631" i="7"/>
  <c r="I631" i="7"/>
  <c r="J631" i="7"/>
  <c r="G632" i="7"/>
  <c r="H632" i="7"/>
  <c r="I632" i="7"/>
  <c r="J632" i="7"/>
  <c r="G633" i="7"/>
  <c r="H633" i="7"/>
  <c r="I633" i="7"/>
  <c r="J633" i="7"/>
  <c r="G655" i="7"/>
  <c r="H655" i="7"/>
  <c r="I655" i="7"/>
  <c r="J655" i="7"/>
  <c r="G656" i="7"/>
  <c r="H656" i="7"/>
  <c r="I656" i="7"/>
  <c r="J656" i="7"/>
  <c r="G657" i="7"/>
  <c r="H657" i="7"/>
  <c r="I657" i="7"/>
  <c r="J657" i="7"/>
  <c r="G658" i="7"/>
  <c r="H658" i="7"/>
  <c r="I658" i="7"/>
  <c r="J658" i="7"/>
  <c r="G659" i="7"/>
  <c r="H659" i="7"/>
  <c r="I659" i="7"/>
  <c r="J659" i="7"/>
  <c r="G660" i="7"/>
  <c r="H660" i="7"/>
  <c r="I660" i="7"/>
  <c r="J660" i="7"/>
  <c r="G661" i="7"/>
  <c r="H661" i="7"/>
  <c r="I661" i="7"/>
  <c r="J661" i="7"/>
  <c r="G662" i="7"/>
  <c r="H662" i="7"/>
  <c r="I662" i="7"/>
  <c r="J662" i="7"/>
  <c r="G663" i="7"/>
  <c r="H663" i="7"/>
  <c r="I663" i="7"/>
  <c r="J663" i="7"/>
  <c r="G664" i="7"/>
  <c r="H664" i="7"/>
  <c r="I664" i="7"/>
  <c r="J664" i="7"/>
  <c r="G665" i="7"/>
  <c r="H665" i="7"/>
  <c r="I665" i="7"/>
  <c r="J665"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78" i="7"/>
  <c r="H678" i="7"/>
  <c r="I678" i="7"/>
  <c r="J678" i="7"/>
  <c r="G679" i="7"/>
  <c r="H679" i="7"/>
  <c r="I679" i="7"/>
  <c r="J679" i="7"/>
  <c r="G680" i="7"/>
  <c r="H680" i="7"/>
  <c r="I680" i="7"/>
  <c r="J680" i="7"/>
  <c r="G681" i="7"/>
  <c r="H681" i="7"/>
  <c r="I681" i="7"/>
  <c r="J681" i="7"/>
  <c r="G686" i="7"/>
  <c r="H686" i="7"/>
  <c r="I686" i="7"/>
  <c r="J686"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694" i="7"/>
  <c r="H694" i="7"/>
  <c r="I694" i="7"/>
  <c r="J694" i="7"/>
  <c r="G695" i="7"/>
  <c r="H695" i="7"/>
  <c r="I695" i="7"/>
  <c r="J695" i="7"/>
  <c r="G696" i="7"/>
  <c r="H696" i="7"/>
  <c r="I696" i="7"/>
  <c r="J696" i="7"/>
  <c r="G702" i="7"/>
  <c r="H702" i="7"/>
  <c r="I702" i="7"/>
  <c r="J702" i="7"/>
  <c r="G703" i="7"/>
  <c r="H703" i="7"/>
  <c r="I703" i="7"/>
  <c r="J703" i="7"/>
  <c r="G704" i="7"/>
  <c r="H704" i="7"/>
  <c r="I704" i="7"/>
  <c r="J704" i="7"/>
  <c r="G705" i="7"/>
  <c r="H705" i="7"/>
  <c r="I705" i="7"/>
  <c r="J705" i="7"/>
  <c r="G706" i="7"/>
  <c r="H706" i="7"/>
  <c r="I706" i="7"/>
  <c r="J706" i="7"/>
  <c r="G707" i="7"/>
  <c r="H707" i="7"/>
  <c r="I707" i="7"/>
  <c r="J707" i="7"/>
  <c r="G708" i="7"/>
  <c r="H708" i="7"/>
  <c r="I708" i="7"/>
  <c r="J708" i="7"/>
  <c r="G709" i="7"/>
  <c r="H709" i="7"/>
  <c r="I709" i="7"/>
  <c r="J709" i="7"/>
  <c r="G710" i="7"/>
  <c r="H710" i="7"/>
  <c r="I710" i="7"/>
  <c r="J710" i="7"/>
  <c r="G711" i="7"/>
  <c r="H711" i="7"/>
  <c r="I711" i="7"/>
  <c r="J711" i="7"/>
  <c r="G712" i="7"/>
  <c r="H712" i="7"/>
  <c r="I712" i="7"/>
  <c r="J712" i="7"/>
  <c r="G718" i="7"/>
  <c r="H718" i="7"/>
  <c r="I718" i="7"/>
  <c r="J718" i="7"/>
  <c r="G719" i="7"/>
  <c r="H719" i="7"/>
  <c r="I719" i="7"/>
  <c r="J719" i="7"/>
  <c r="G720" i="7"/>
  <c r="H720" i="7"/>
  <c r="I720" i="7"/>
  <c r="J720" i="7"/>
  <c r="G721" i="7"/>
  <c r="H721" i="7"/>
  <c r="I721" i="7"/>
  <c r="J721" i="7"/>
  <c r="G722" i="7"/>
  <c r="H722" i="7"/>
  <c r="I722" i="7"/>
  <c r="J722" i="7"/>
  <c r="G723" i="7"/>
  <c r="H723" i="7"/>
  <c r="I723" i="7"/>
  <c r="J723" i="7"/>
  <c r="G724" i="7"/>
  <c r="H724" i="7"/>
  <c r="I724" i="7"/>
  <c r="J724" i="7"/>
  <c r="G725" i="7"/>
  <c r="H725" i="7"/>
  <c r="I725" i="7"/>
  <c r="J725" i="7"/>
  <c r="G726" i="7"/>
  <c r="H726" i="7"/>
  <c r="I726" i="7"/>
  <c r="J726" i="7"/>
  <c r="G727" i="7"/>
  <c r="H727" i="7"/>
  <c r="I727" i="7"/>
  <c r="J727" i="7"/>
  <c r="G728" i="7"/>
  <c r="H728" i="7"/>
  <c r="I728" i="7"/>
  <c r="J728" i="7"/>
  <c r="G734" i="7"/>
  <c r="H734" i="7"/>
  <c r="I734" i="7"/>
  <c r="J734" i="7"/>
  <c r="G735" i="7"/>
  <c r="H735" i="7"/>
  <c r="I735" i="7"/>
  <c r="J735" i="7"/>
  <c r="G736" i="7"/>
  <c r="H736" i="7"/>
  <c r="I736" i="7"/>
  <c r="J736" i="7"/>
  <c r="G737" i="7"/>
  <c r="H737" i="7"/>
  <c r="I737" i="7"/>
  <c r="J737" i="7"/>
  <c r="G738" i="7"/>
  <c r="H738" i="7"/>
  <c r="I738" i="7"/>
  <c r="J738" i="7"/>
  <c r="G739" i="7"/>
  <c r="H739" i="7"/>
  <c r="I739" i="7"/>
  <c r="J739" i="7"/>
  <c r="G740" i="7"/>
  <c r="H740" i="7"/>
  <c r="I740" i="7"/>
  <c r="J740" i="7"/>
  <c r="G741" i="7"/>
  <c r="H741" i="7"/>
  <c r="I741" i="7"/>
  <c r="J741" i="7"/>
  <c r="G742" i="7"/>
  <c r="H742" i="7"/>
  <c r="I742" i="7"/>
  <c r="J742" i="7"/>
  <c r="G743" i="7"/>
  <c r="H743" i="7"/>
  <c r="I743" i="7"/>
  <c r="J743" i="7"/>
  <c r="G744" i="7"/>
  <c r="H744" i="7"/>
  <c r="I744" i="7"/>
  <c r="J744" i="7"/>
  <c r="G750" i="7"/>
  <c r="H750" i="7"/>
  <c r="I750" i="7"/>
  <c r="J750" i="7"/>
  <c r="G751" i="7"/>
  <c r="H751" i="7"/>
  <c r="I751" i="7"/>
  <c r="J751" i="7"/>
  <c r="G752" i="7"/>
  <c r="H752" i="7"/>
  <c r="I752" i="7"/>
  <c r="J752" i="7"/>
  <c r="G753" i="7"/>
  <c r="H753" i="7"/>
  <c r="I753" i="7"/>
  <c r="J753" i="7"/>
  <c r="G754" i="7"/>
  <c r="H754" i="7"/>
  <c r="I754" i="7"/>
  <c r="J754" i="7"/>
  <c r="G755" i="7"/>
  <c r="H755" i="7"/>
  <c r="I755" i="7"/>
  <c r="J755" i="7"/>
  <c r="G756" i="7"/>
  <c r="H756" i="7"/>
  <c r="I756" i="7"/>
  <c r="J756" i="7"/>
  <c r="G757" i="7"/>
  <c r="H757" i="7"/>
  <c r="I757" i="7"/>
  <c r="J757" i="7"/>
  <c r="G758" i="7"/>
  <c r="H758" i="7"/>
  <c r="I758" i="7"/>
  <c r="J758" i="7"/>
  <c r="G759" i="7"/>
  <c r="H759" i="7"/>
  <c r="I759" i="7"/>
  <c r="J759" i="7"/>
  <c r="G760" i="7"/>
  <c r="H760" i="7"/>
  <c r="I760" i="7"/>
  <c r="J760" i="7"/>
  <c r="G766" i="7"/>
  <c r="H766" i="7"/>
  <c r="I766" i="7"/>
  <c r="J766" i="7"/>
  <c r="G767" i="7"/>
  <c r="H767" i="7"/>
  <c r="I767" i="7"/>
  <c r="J767" i="7"/>
  <c r="G768" i="7"/>
  <c r="H768" i="7"/>
  <c r="I768" i="7"/>
  <c r="J768" i="7"/>
  <c r="G769" i="7"/>
  <c r="H769" i="7"/>
  <c r="I769" i="7"/>
  <c r="J769" i="7"/>
  <c r="G770" i="7"/>
  <c r="H770" i="7"/>
  <c r="I770" i="7"/>
  <c r="J770" i="7"/>
  <c r="G771" i="7"/>
  <c r="H771" i="7"/>
  <c r="I771" i="7"/>
  <c r="J771" i="7"/>
  <c r="G772" i="7"/>
  <c r="H772" i="7"/>
  <c r="I772" i="7"/>
  <c r="J772" i="7"/>
  <c r="G773" i="7"/>
  <c r="H773" i="7"/>
  <c r="I773" i="7"/>
  <c r="J773" i="7"/>
  <c r="G774" i="7"/>
  <c r="H774" i="7"/>
  <c r="I774" i="7"/>
  <c r="J774" i="7"/>
  <c r="G775" i="7"/>
  <c r="H775" i="7"/>
  <c r="I775" i="7"/>
  <c r="J775" i="7"/>
  <c r="G776" i="7"/>
  <c r="H776" i="7"/>
  <c r="I776" i="7"/>
  <c r="J776" i="7"/>
  <c r="B6" i="9"/>
  <c r="C6" i="9"/>
  <c r="B7" i="9"/>
  <c r="C7" i="9"/>
  <c r="B8" i="9"/>
  <c r="C8" i="9"/>
  <c r="B9" i="9"/>
  <c r="C9" i="9"/>
  <c r="B10" i="9"/>
  <c r="C10" i="9"/>
  <c r="B11" i="9"/>
  <c r="C11" i="9"/>
  <c r="B12" i="9"/>
  <c r="C12" i="9"/>
  <c r="B13" i="9"/>
  <c r="C13" i="9"/>
  <c r="B14" i="9"/>
  <c r="C14" i="9"/>
  <c r="B15" i="9"/>
  <c r="C15" i="9"/>
  <c r="B16" i="9"/>
  <c r="C16" i="9"/>
  <c r="B17" i="9"/>
  <c r="C17" i="9"/>
  <c r="B20" i="9"/>
  <c r="C20" i="9"/>
  <c r="D20" i="9"/>
  <c r="E20" i="9"/>
  <c r="H20" i="9"/>
  <c r="I20" i="9"/>
  <c r="J20" i="9"/>
  <c r="K20" i="9"/>
  <c r="L20" i="9"/>
  <c r="M20" i="9"/>
  <c r="N20" i="9"/>
  <c r="P20" i="9"/>
  <c r="T20" i="9"/>
  <c r="U20" i="9"/>
  <c r="V20" i="9"/>
  <c r="W20" i="9"/>
  <c r="Y20" i="9"/>
  <c r="Z20" i="9"/>
  <c r="AA20" i="9"/>
  <c r="AB20" i="9"/>
  <c r="AC20" i="9"/>
  <c r="AD20" i="9"/>
  <c r="AE20" i="9"/>
  <c r="AF20" i="9"/>
  <c r="AG20" i="9"/>
  <c r="AH20" i="9"/>
  <c r="AI20" i="9"/>
  <c r="AJ20" i="9"/>
  <c r="AK20" i="9"/>
  <c r="AL20" i="9"/>
  <c r="AM20" i="9"/>
  <c r="AN20" i="9"/>
  <c r="AO20" i="9"/>
  <c r="AP20" i="9"/>
  <c r="AQ20" i="9"/>
  <c r="AR20" i="9"/>
  <c r="AS20" i="9"/>
  <c r="AT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H35" i="9"/>
  <c r="I35" i="9"/>
  <c r="K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B36" i="9"/>
  <c r="C36" i="9"/>
  <c r="B37" i="9"/>
  <c r="C37" i="9"/>
  <c r="B38" i="9"/>
  <c r="C38" i="9"/>
  <c r="B39" i="9"/>
  <c r="C39" i="9"/>
  <c r="B40" i="9"/>
  <c r="C40" i="9"/>
  <c r="B41" i="9"/>
  <c r="C41" i="9"/>
  <c r="B42" i="9"/>
  <c r="C42" i="9"/>
  <c r="B43" i="9"/>
  <c r="C43" i="9"/>
  <c r="B44" i="9"/>
  <c r="C44" i="9"/>
  <c r="B45" i="9"/>
  <c r="C45" i="9"/>
  <c r="B46" i="9"/>
  <c r="C46" i="9"/>
  <c r="B47" i="9"/>
  <c r="C47" i="9"/>
  <c r="AQ47" i="9"/>
  <c r="A48" i="9"/>
  <c r="BP19" i="6"/>
  <c r="BQ19" i="6"/>
  <c r="BR19" i="6"/>
  <c r="BS19" i="6" s="1"/>
  <c r="BT19" i="6"/>
  <c r="BU19" i="6" s="1"/>
  <c r="BV19" i="6"/>
  <c r="BW19" i="6"/>
  <c r="BX19" i="6"/>
  <c r="BY19" i="6" s="1"/>
  <c r="DK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W62" i="6"/>
  <c r="CX62" i="6"/>
  <c r="CY62" i="6"/>
  <c r="CZ62" i="6"/>
  <c r="DA62" i="6"/>
  <c r="DB62" i="6"/>
  <c r="DC62" i="6"/>
  <c r="DD62" i="6"/>
  <c r="DE62" i="6"/>
  <c r="DF62" i="6"/>
  <c r="DG62" i="6"/>
  <c r="DH62" i="6"/>
  <c r="DI62" i="6"/>
  <c r="DJ62" i="6"/>
  <c r="A2" i="1"/>
  <c r="A25" i="1"/>
  <c r="A26" i="1"/>
  <c r="A27" i="1"/>
  <c r="A28" i="1"/>
  <c r="D28" i="1"/>
  <c r="E28" i="1"/>
  <c r="A29" i="1"/>
  <c r="D29" i="1"/>
  <c r="E29" i="1"/>
  <c r="A30" i="1"/>
  <c r="D30" i="1"/>
  <c r="E30" i="1"/>
  <c r="A31" i="1"/>
  <c r="D31" i="1"/>
  <c r="A32" i="1"/>
  <c r="D32" i="1"/>
  <c r="C57" i="1"/>
  <c r="E57" i="1"/>
  <c r="G57" i="1"/>
  <c r="I57" i="1"/>
  <c r="K57" i="1"/>
  <c r="M57" i="1"/>
  <c r="C58" i="1"/>
  <c r="E58" i="1" s="1"/>
  <c r="G58" i="1"/>
  <c r="I58" i="1" s="1"/>
  <c r="K58" i="1"/>
  <c r="M58" i="1" s="1"/>
  <c r="C59" i="1"/>
  <c r="E59" i="1" s="1"/>
  <c r="G59" i="1"/>
  <c r="I59" i="1"/>
  <c r="K59" i="1"/>
  <c r="M59" i="1"/>
  <c r="C60" i="1"/>
  <c r="E60" i="1"/>
  <c r="G60" i="1"/>
  <c r="I60" i="1"/>
  <c r="K60" i="1"/>
  <c r="M60" i="1" s="1"/>
  <c r="C61" i="1"/>
  <c r="E61" i="1" s="1"/>
  <c r="G61" i="1"/>
  <c r="I61" i="1" s="1"/>
  <c r="K61" i="1"/>
  <c r="M61" i="1" s="1"/>
  <c r="C62" i="1"/>
  <c r="E62" i="1"/>
  <c r="G62" i="1"/>
  <c r="I62" i="1"/>
  <c r="K62" i="1"/>
  <c r="M62" i="1"/>
  <c r="C63" i="1"/>
  <c r="E63" i="1"/>
  <c r="G63" i="1"/>
  <c r="I63" i="1" s="1"/>
  <c r="K63" i="1"/>
  <c r="M63" i="1" s="1"/>
  <c r="C64" i="1"/>
  <c r="E64" i="1" s="1"/>
  <c r="G64" i="1"/>
  <c r="I64" i="1" s="1"/>
  <c r="K64" i="1"/>
  <c r="M64" i="1"/>
  <c r="C65" i="1"/>
  <c r="E65" i="1"/>
  <c r="G65" i="1"/>
  <c r="I65" i="1"/>
  <c r="K65" i="1"/>
  <c r="M65" i="1"/>
  <c r="C66" i="1"/>
  <c r="E66" i="1" s="1"/>
  <c r="G66" i="1"/>
  <c r="I66" i="1" s="1"/>
  <c r="K66" i="1"/>
  <c r="M66" i="1" s="1"/>
  <c r="C67" i="1"/>
  <c r="E67" i="1" s="1"/>
  <c r="G67" i="1"/>
  <c r="I67" i="1"/>
  <c r="K67" i="1"/>
  <c r="M67" i="1"/>
  <c r="C68" i="1"/>
  <c r="E68" i="1"/>
  <c r="G68" i="1"/>
  <c r="I68" i="1"/>
  <c r="K68" i="1"/>
  <c r="M68" i="1" s="1"/>
  <c r="B79" i="1"/>
  <c r="K83" i="1"/>
  <c r="I84" i="1"/>
  <c r="K84" i="1"/>
  <c r="I85" i="1"/>
  <c r="K85" i="1"/>
  <c r="I86" i="1"/>
  <c r="K86" i="1"/>
  <c r="I87" i="1"/>
  <c r="K87" i="1"/>
  <c r="I88" i="1"/>
  <c r="J88" i="1"/>
  <c r="K88" i="1"/>
  <c r="B89" i="1"/>
  <c r="B90" i="1" s="1"/>
  <c r="C89" i="1"/>
  <c r="C90" i="1" s="1"/>
  <c r="D89" i="1"/>
  <c r="D91" i="1" s="1"/>
  <c r="E89" i="1"/>
  <c r="E90" i="1" s="1"/>
  <c r="F89" i="1"/>
  <c r="F91" i="1" s="1"/>
  <c r="G89" i="1"/>
  <c r="H89" i="1"/>
  <c r="J89" i="1" s="1"/>
  <c r="J90" i="1" s="1"/>
  <c r="K89" i="1"/>
  <c r="D90" i="1"/>
  <c r="F90" i="1"/>
  <c r="G90" i="1"/>
  <c r="K90" i="1"/>
  <c r="K91" i="1"/>
  <c r="A96" i="1"/>
  <c r="A97" i="1"/>
  <c r="A98" i="1"/>
  <c r="C99" i="1"/>
  <c r="H99" i="1"/>
  <c r="A100" i="1"/>
  <c r="C100" i="1"/>
  <c r="D100" i="1"/>
  <c r="E100" i="1"/>
  <c r="F100" i="1"/>
  <c r="H100" i="1"/>
  <c r="I100" i="1"/>
  <c r="J100" i="1"/>
  <c r="A101" i="1"/>
  <c r="C101" i="1"/>
  <c r="D101" i="1"/>
  <c r="E101" i="1"/>
  <c r="F101" i="1"/>
  <c r="H101" i="1"/>
  <c r="I101" i="1"/>
  <c r="J101" i="1"/>
  <c r="K101" i="1"/>
  <c r="A102" i="1"/>
  <c r="C102" i="1"/>
  <c r="D102" i="1"/>
  <c r="E102" i="1"/>
  <c r="F102" i="1"/>
  <c r="H102" i="1"/>
  <c r="I102" i="1"/>
  <c r="A103" i="1"/>
  <c r="C103" i="1"/>
  <c r="D103" i="1"/>
  <c r="E103" i="1"/>
  <c r="F103" i="1"/>
  <c r="H103" i="1"/>
  <c r="I103" i="1"/>
  <c r="J103" i="1"/>
  <c r="K103" i="1"/>
  <c r="A104" i="1"/>
  <c r="C104" i="1"/>
  <c r="D104" i="1"/>
  <c r="E104" i="1"/>
  <c r="F104" i="1"/>
  <c r="H104" i="1"/>
  <c r="I104" i="1"/>
  <c r="J104" i="1"/>
  <c r="K104" i="1"/>
  <c r="A105" i="1"/>
  <c r="C105" i="1"/>
  <c r="D105" i="1"/>
  <c r="E105" i="1"/>
  <c r="F105" i="1"/>
  <c r="H105" i="1"/>
  <c r="I105" i="1"/>
  <c r="J105" i="1"/>
  <c r="K105" i="1"/>
  <c r="A106" i="1"/>
  <c r="C106" i="1"/>
  <c r="D106" i="1"/>
  <c r="E106" i="1"/>
  <c r="F106" i="1"/>
  <c r="K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A110" i="1"/>
  <c r="C110" i="1"/>
  <c r="D110" i="1"/>
  <c r="E110" i="1"/>
  <c r="F110" i="1"/>
  <c r="I110" i="1"/>
  <c r="J110" i="1"/>
  <c r="K110" i="1"/>
  <c r="A111" i="1"/>
  <c r="C111" i="1"/>
  <c r="D111" i="1"/>
  <c r="E111" i="1"/>
  <c r="F111" i="1"/>
  <c r="H111" i="1"/>
  <c r="I111" i="1"/>
  <c r="J111" i="1"/>
  <c r="K111" i="1"/>
  <c r="A112" i="1"/>
  <c r="C112" i="1"/>
  <c r="D112" i="1"/>
  <c r="E112" i="1"/>
  <c r="F112" i="1"/>
  <c r="H112" i="1"/>
  <c r="I112" i="1"/>
  <c r="J112" i="1"/>
  <c r="K112" i="1"/>
  <c r="D116" i="1"/>
  <c r="D117" i="1"/>
  <c r="C125" i="1"/>
  <c r="C126" i="1"/>
  <c r="C127" i="1"/>
  <c r="C128" i="1"/>
  <c r="I125" i="1" s="1"/>
  <c r="F125" i="1" s="1"/>
  <c r="J125" i="1"/>
  <c r="G125" i="1"/>
  <c r="C129" i="1"/>
  <c r="I128" i="1" s="1"/>
  <c r="F128" i="1" s="1"/>
  <c r="I126" i="1"/>
  <c r="F126" i="1"/>
  <c r="J126" i="1"/>
  <c r="G126" i="1"/>
  <c r="C130" i="1"/>
  <c r="J127" i="1"/>
  <c r="G127" i="1" s="1"/>
  <c r="C131" i="1"/>
  <c r="J128" i="1"/>
  <c r="G128" i="1" s="1"/>
  <c r="C132" i="1"/>
  <c r="I131" i="1" s="1"/>
  <c r="F131" i="1" s="1"/>
  <c r="I129" i="1"/>
  <c r="F129" i="1"/>
  <c r="D132" i="1"/>
  <c r="J131" i="1" s="1"/>
  <c r="G131" i="1" s="1"/>
  <c r="I132" i="1"/>
  <c r="F132" i="1" s="1"/>
  <c r="F133" i="1"/>
  <c r="I135" i="1"/>
  <c r="F135" i="1"/>
  <c r="J135" i="1"/>
  <c r="G135" i="1" s="1"/>
  <c r="I136" i="1"/>
  <c r="F136" i="1"/>
  <c r="J136" i="1"/>
  <c r="G136" i="1" s="1"/>
  <c r="I137" i="1"/>
  <c r="F137" i="1" s="1"/>
  <c r="J137" i="1"/>
  <c r="G137" i="1" s="1"/>
  <c r="I138" i="1"/>
  <c r="F138" i="1"/>
  <c r="J138" i="1"/>
  <c r="G138" i="1"/>
  <c r="I139" i="1"/>
  <c r="F139" i="1"/>
  <c r="J139" i="1"/>
  <c r="G139" i="1" s="1"/>
  <c r="I140" i="1"/>
  <c r="F140" i="1"/>
  <c r="J140" i="1"/>
  <c r="G140" i="1" s="1"/>
  <c r="I141" i="1"/>
  <c r="F141" i="1" s="1"/>
  <c r="J141" i="1"/>
  <c r="G141" i="1" s="1"/>
  <c r="I142" i="1"/>
  <c r="F142" i="1"/>
  <c r="J142" i="1"/>
  <c r="G142" i="1"/>
  <c r="I143" i="1"/>
  <c r="F143" i="1"/>
  <c r="J143" i="1"/>
  <c r="G143" i="1" s="1"/>
  <c r="I144" i="1"/>
  <c r="F144" i="1"/>
  <c r="J144" i="1"/>
  <c r="G144" i="1" s="1"/>
  <c r="I145" i="1"/>
  <c r="F145" i="1" s="1"/>
  <c r="J145" i="1"/>
  <c r="G145" i="1" s="1"/>
  <c r="I146" i="1"/>
  <c r="F146" i="1"/>
  <c r="J146" i="1"/>
  <c r="G146" i="1"/>
  <c r="I147" i="1"/>
  <c r="F147" i="1"/>
  <c r="J147" i="1"/>
  <c r="G147" i="1" s="1"/>
  <c r="I148" i="1"/>
  <c r="F148" i="1"/>
  <c r="J148" i="1"/>
  <c r="G148" i="1" s="1"/>
  <c r="I149" i="1"/>
  <c r="F149" i="1" s="1"/>
  <c r="J149" i="1"/>
  <c r="G149" i="1" s="1"/>
  <c r="I150" i="1"/>
  <c r="F150" i="1"/>
  <c r="J150" i="1"/>
  <c r="G150" i="1"/>
  <c r="I151" i="1"/>
  <c r="F151" i="1"/>
  <c r="J151" i="1"/>
  <c r="G151" i="1" s="1"/>
  <c r="I152" i="1"/>
  <c r="F152" i="1"/>
  <c r="J152" i="1"/>
  <c r="G152" i="1" s="1"/>
  <c r="I153" i="1"/>
  <c r="F153" i="1" s="1"/>
  <c r="J153" i="1"/>
  <c r="G153" i="1" s="1"/>
  <c r="I154" i="1"/>
  <c r="F154" i="1"/>
  <c r="J154" i="1"/>
  <c r="G154" i="1"/>
  <c r="I155"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I179" i="1"/>
  <c r="F179" i="1" s="1"/>
  <c r="J179" i="1"/>
  <c r="G179" i="1" s="1"/>
  <c r="I180" i="1"/>
  <c r="F180" i="1" s="1"/>
  <c r="J180" i="1"/>
  <c r="G180" i="1"/>
  <c r="I181" i="1"/>
  <c r="F181" i="1"/>
  <c r="J181" i="1"/>
  <c r="G181" i="1"/>
  <c r="I182" i="1"/>
  <c r="F182" i="1"/>
  <c r="J182" i="1"/>
  <c r="G182" i="1" s="1"/>
  <c r="I183" i="1"/>
  <c r="F183" i="1" s="1"/>
  <c r="J183" i="1"/>
  <c r="G183" i="1" s="1"/>
  <c r="I184" i="1"/>
  <c r="F184" i="1" s="1"/>
  <c r="J184" i="1"/>
  <c r="G184" i="1"/>
  <c r="I185" i="1"/>
  <c r="F185" i="1"/>
  <c r="J185" i="1"/>
  <c r="G185" i="1"/>
  <c r="I186" i="1"/>
  <c r="F186" i="1"/>
  <c r="J186" i="1"/>
  <c r="G186" i="1" s="1"/>
  <c r="I187" i="1"/>
  <c r="F187" i="1" s="1"/>
  <c r="J187" i="1"/>
  <c r="G187" i="1" s="1"/>
  <c r="I188" i="1"/>
  <c r="F188" i="1" s="1"/>
  <c r="J188" i="1"/>
  <c r="G188" i="1"/>
  <c r="I189" i="1"/>
  <c r="F189" i="1"/>
  <c r="J189" i="1"/>
  <c r="G189" i="1"/>
  <c r="I190" i="1"/>
  <c r="F190" i="1"/>
  <c r="J190" i="1"/>
  <c r="G190" i="1" s="1"/>
  <c r="I191" i="1"/>
  <c r="F191" i="1" s="1"/>
  <c r="J191" i="1"/>
  <c r="G191" i="1" s="1"/>
  <c r="I192" i="1"/>
  <c r="F192" i="1" s="1"/>
  <c r="J192" i="1"/>
  <c r="G192" i="1"/>
  <c r="I193" i="1"/>
  <c r="F193" i="1"/>
  <c r="J193" i="1"/>
  <c r="G193" i="1"/>
  <c r="I194" i="1"/>
  <c r="F194" i="1"/>
  <c r="J194" i="1"/>
  <c r="G194" i="1" s="1"/>
  <c r="I195" i="1"/>
  <c r="F195" i="1" s="1"/>
  <c r="J195" i="1"/>
  <c r="G195" i="1" s="1"/>
  <c r="I196" i="1"/>
  <c r="F196" i="1" s="1"/>
  <c r="J196" i="1"/>
  <c r="G196" i="1"/>
  <c r="I197" i="1"/>
  <c r="F197" i="1"/>
  <c r="J197" i="1"/>
  <c r="G197" i="1"/>
  <c r="I198" i="1"/>
  <c r="F198" i="1"/>
  <c r="J198" i="1"/>
  <c r="G198" i="1" s="1"/>
  <c r="I199" i="1"/>
  <c r="F199" i="1" s="1"/>
  <c r="J199" i="1"/>
  <c r="G199" i="1" s="1"/>
  <c r="I200" i="1"/>
  <c r="F200" i="1" s="1"/>
  <c r="J200" i="1"/>
  <c r="G200" i="1"/>
  <c r="I201" i="1"/>
  <c r="F201" i="1"/>
  <c r="J201" i="1"/>
  <c r="G201" i="1"/>
  <c r="I202" i="1"/>
  <c r="F202" i="1"/>
  <c r="J202" i="1"/>
  <c r="G202" i="1" s="1"/>
  <c r="I203" i="1"/>
  <c r="F203" i="1" s="1"/>
  <c r="J203" i="1"/>
  <c r="G203" i="1" s="1"/>
  <c r="I204" i="1"/>
  <c r="F204" i="1" s="1"/>
  <c r="J204" i="1"/>
  <c r="G204" i="1"/>
  <c r="I205" i="1"/>
  <c r="F205" i="1"/>
  <c r="J205" i="1"/>
  <c r="G205" i="1"/>
  <c r="I206" i="1"/>
  <c r="F206" i="1"/>
  <c r="J206" i="1"/>
  <c r="G206" i="1" s="1"/>
  <c r="I207" i="1"/>
  <c r="F207" i="1" s="1"/>
  <c r="J207" i="1"/>
  <c r="G207" i="1" s="1"/>
  <c r="I208" i="1"/>
  <c r="F208" i="1" s="1"/>
  <c r="J208" i="1"/>
  <c r="G208" i="1"/>
  <c r="I209" i="1"/>
  <c r="F209" i="1"/>
  <c r="J209" i="1"/>
  <c r="G209" i="1"/>
  <c r="I210" i="1"/>
  <c r="F210" i="1"/>
  <c r="J210" i="1"/>
  <c r="G210" i="1" s="1"/>
  <c r="I211" i="1"/>
  <c r="F211" i="1" s="1"/>
  <c r="J211" i="1"/>
  <c r="G211" i="1" s="1"/>
  <c r="I212" i="1"/>
  <c r="F212" i="1" s="1"/>
  <c r="J212" i="1"/>
  <c r="G212" i="1"/>
  <c r="I213" i="1"/>
  <c r="F213" i="1"/>
  <c r="J213" i="1"/>
  <c r="G213" i="1"/>
  <c r="I214" i="1"/>
  <c r="F214" i="1"/>
  <c r="J214" i="1"/>
  <c r="G214" i="1" s="1"/>
  <c r="I215" i="1"/>
  <c r="F215" i="1" s="1"/>
  <c r="J215" i="1"/>
  <c r="G215" i="1" s="1"/>
  <c r="I216" i="1"/>
  <c r="F216" i="1" s="1"/>
  <c r="J216" i="1"/>
  <c r="G216" i="1"/>
  <c r="I217" i="1"/>
  <c r="F217" i="1"/>
  <c r="J217" i="1"/>
  <c r="G217" i="1"/>
  <c r="I218" i="1"/>
  <c r="F218" i="1"/>
  <c r="J218" i="1"/>
  <c r="G218" i="1" s="1"/>
  <c r="I219" i="1"/>
  <c r="F219" i="1" s="1"/>
  <c r="J219" i="1"/>
  <c r="G219" i="1" s="1"/>
  <c r="I220" i="1"/>
  <c r="F220" i="1" s="1"/>
  <c r="J220" i="1"/>
  <c r="G220" i="1"/>
  <c r="I221" i="1"/>
  <c r="F221" i="1"/>
  <c r="J221" i="1"/>
  <c r="G221" i="1"/>
  <c r="I222" i="1"/>
  <c r="F222" i="1"/>
  <c r="J222" i="1"/>
  <c r="G222" i="1" s="1"/>
  <c r="I223" i="1"/>
  <c r="F223" i="1" s="1"/>
  <c r="J223" i="1"/>
  <c r="G223" i="1" s="1"/>
  <c r="I224" i="1"/>
  <c r="F224" i="1" s="1"/>
  <c r="J224" i="1"/>
  <c r="G224" i="1"/>
  <c r="I225" i="1"/>
  <c r="F225" i="1"/>
  <c r="J225" i="1"/>
  <c r="G225" i="1"/>
  <c r="I226" i="1"/>
  <c r="F226" i="1"/>
  <c r="J226" i="1"/>
  <c r="G226" i="1" s="1"/>
  <c r="I227" i="1"/>
  <c r="F227" i="1" s="1"/>
  <c r="J227" i="1"/>
  <c r="G227" i="1" s="1"/>
  <c r="I228" i="1"/>
  <c r="F228" i="1" s="1"/>
  <c r="J228" i="1"/>
  <c r="G228" i="1"/>
  <c r="I229" i="1"/>
  <c r="F229" i="1"/>
  <c r="J229" i="1"/>
  <c r="G229" i="1"/>
  <c r="I230" i="1"/>
  <c r="F230" i="1"/>
  <c r="J230" i="1"/>
  <c r="G230" i="1" s="1"/>
  <c r="I231" i="1"/>
  <c r="F231" i="1" s="1"/>
  <c r="J231" i="1"/>
  <c r="G231" i="1" s="1"/>
  <c r="I232" i="1"/>
  <c r="F232" i="1" s="1"/>
  <c r="J232" i="1"/>
  <c r="G232" i="1"/>
  <c r="I233" i="1"/>
  <c r="F233" i="1"/>
  <c r="J233" i="1"/>
  <c r="G233" i="1"/>
  <c r="I234" i="1"/>
  <c r="F234" i="1"/>
  <c r="J234" i="1"/>
  <c r="G234" i="1" s="1"/>
  <c r="I235" i="1"/>
  <c r="F235" i="1" s="1"/>
  <c r="J235" i="1"/>
  <c r="G235" i="1" s="1"/>
  <c r="I236" i="1"/>
  <c r="F236" i="1" s="1"/>
  <c r="J236" i="1"/>
  <c r="G236" i="1"/>
  <c r="I237" i="1"/>
  <c r="F237" i="1"/>
  <c r="J237" i="1"/>
  <c r="G237" i="1"/>
  <c r="I238" i="1"/>
  <c r="F238" i="1"/>
  <c r="J238" i="1"/>
  <c r="G238" i="1" s="1"/>
  <c r="I239" i="1"/>
  <c r="F239" i="1" s="1"/>
  <c r="J239" i="1"/>
  <c r="G239" i="1" s="1"/>
  <c r="I240" i="1"/>
  <c r="F240" i="1" s="1"/>
  <c r="J240" i="1"/>
  <c r="G240" i="1"/>
  <c r="I241" i="1"/>
  <c r="F241" i="1"/>
  <c r="J241" i="1"/>
  <c r="G241" i="1"/>
  <c r="I242" i="1"/>
  <c r="F242" i="1"/>
  <c r="J242" i="1"/>
  <c r="G242" i="1" s="1"/>
  <c r="I243" i="1"/>
  <c r="F243" i="1" s="1"/>
  <c r="J243" i="1"/>
  <c r="G243" i="1" s="1"/>
  <c r="I244" i="1"/>
  <c r="F244" i="1" s="1"/>
  <c r="J244" i="1"/>
  <c r="G244" i="1"/>
  <c r="I245" i="1"/>
  <c r="F245" i="1"/>
  <c r="J245" i="1"/>
  <c r="G245" i="1"/>
  <c r="I246" i="1"/>
  <c r="F246" i="1"/>
  <c r="J246" i="1"/>
  <c r="G246" i="1" s="1"/>
  <c r="I247" i="1"/>
  <c r="F247" i="1" s="1"/>
  <c r="J247" i="1"/>
  <c r="G247" i="1" s="1"/>
  <c r="I248" i="1"/>
  <c r="F248" i="1" s="1"/>
  <c r="J248" i="1"/>
  <c r="G248" i="1"/>
  <c r="I249" i="1"/>
  <c r="F249" i="1"/>
  <c r="J249" i="1"/>
  <c r="G249" i="1"/>
  <c r="I250" i="1"/>
  <c r="F250" i="1"/>
  <c r="J250" i="1"/>
  <c r="G250" i="1" s="1"/>
  <c r="I251" i="1"/>
  <c r="F251" i="1" s="1"/>
  <c r="J251" i="1"/>
  <c r="G251" i="1" s="1"/>
  <c r="I252" i="1"/>
  <c r="F252" i="1" s="1"/>
  <c r="J252" i="1"/>
  <c r="G252" i="1"/>
  <c r="I253" i="1"/>
  <c r="F253" i="1"/>
  <c r="J253" i="1"/>
  <c r="G253" i="1"/>
  <c r="I254" i="1"/>
  <c r="F254" i="1"/>
  <c r="J254" i="1"/>
  <c r="G254" i="1" s="1"/>
  <c r="I255" i="1"/>
  <c r="F255" i="1" s="1"/>
  <c r="J255" i="1"/>
  <c r="G255" i="1" s="1"/>
  <c r="I256" i="1"/>
  <c r="F256" i="1" s="1"/>
  <c r="J256" i="1"/>
  <c r="G256" i="1"/>
  <c r="I257" i="1"/>
  <c r="F257" i="1"/>
  <c r="J257" i="1"/>
  <c r="G257" i="1"/>
  <c r="I258" i="1"/>
  <c r="F258" i="1"/>
  <c r="J258" i="1"/>
  <c r="G258" i="1" s="1"/>
  <c r="I259" i="1"/>
  <c r="F259" i="1" s="1"/>
  <c r="J259" i="1"/>
  <c r="G259" i="1" s="1"/>
  <c r="I260" i="1"/>
  <c r="F260" i="1" s="1"/>
  <c r="J260" i="1"/>
  <c r="G260" i="1"/>
  <c r="I261" i="1"/>
  <c r="F261" i="1"/>
  <c r="J261" i="1"/>
  <c r="G261" i="1"/>
  <c r="I262" i="1"/>
  <c r="F262" i="1"/>
  <c r="J262" i="1"/>
  <c r="G262" i="1" s="1"/>
  <c r="I263" i="1"/>
  <c r="F263" i="1" s="1"/>
  <c r="J263" i="1"/>
  <c r="G263" i="1" s="1"/>
  <c r="I264" i="1"/>
  <c r="F264" i="1" s="1"/>
  <c r="J264" i="1"/>
  <c r="G264" i="1"/>
  <c r="I265" i="1"/>
  <c r="F265" i="1"/>
  <c r="J265" i="1"/>
  <c r="G265" i="1"/>
  <c r="I266" i="1"/>
  <c r="F266" i="1"/>
  <c r="J266" i="1"/>
  <c r="G266" i="1" s="1"/>
  <c r="I267" i="1"/>
  <c r="F267" i="1" s="1"/>
  <c r="J267" i="1"/>
  <c r="G267" i="1" s="1"/>
  <c r="H90" i="1" l="1"/>
  <c r="E91" i="1"/>
  <c r="I89" i="1"/>
  <c r="J130" i="1"/>
  <c r="G130" i="1" s="1"/>
  <c r="I127" i="1"/>
  <c r="F127" i="1" s="1"/>
  <c r="C91" i="1"/>
  <c r="I130" i="1"/>
  <c r="F130" i="1" s="1"/>
  <c r="B91" i="1"/>
  <c r="J129" i="1"/>
  <c r="G129" i="1" s="1"/>
  <c r="J132" i="1"/>
  <c r="N22" i="7"/>
  <c r="H91" i="1"/>
  <c r="G132" i="1" l="1"/>
  <c r="G133" i="1"/>
  <c r="I90" i="1"/>
  <c r="I91" i="1"/>
</calcChain>
</file>

<file path=xl/sharedStrings.xml><?xml version="1.0" encoding="utf-8"?>
<sst xmlns="http://schemas.openxmlformats.org/spreadsheetml/2006/main" count="2282" uniqueCount="764">
  <si>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</si>
  <si>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</si>
  <si>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</si>
  <si>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</si>
  <si>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</si>
  <si>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</si>
  <si>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</si>
  <si>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</si>
  <si>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</si>
  <si>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</si>
  <si>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</si>
  <si>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</si>
  <si>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</si>
  <si>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</si>
  <si>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</si>
  <si>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</si>
  <si>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</si>
  <si>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</si>
  <si>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</si>
  <si>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</si>
  <si>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</si>
  <si>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</si>
  <si>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</si>
  <si>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</si>
  <si>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</si>
  <si>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</si>
  <si>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</si>
  <si>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</si>
  <si>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</si>
  <si>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</si>
  <si>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</si>
  <si>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</si>
  <si>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</si>
  <si>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</si>
  <si>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</si>
  <si>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</si>
  <si>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</si>
  <si>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</si>
  <si>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</si>
  <si>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</si>
  <si>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</si>
  <si>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</si>
  <si>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</si>
  <si>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</si>
  <si>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</si>
  <si>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</si>
  <si>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</si>
  <si>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</si>
  <si>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</si>
  <si>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</si>
  <si>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</si>
  <si>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</si>
  <si>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</si>
  <si>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</si>
  <si>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</si>
  <si>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</si>
  <si>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</si>
  <si>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</si>
  <si>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</si>
  <si>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</si>
  <si>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</si>
  <si>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</si>
  <si>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</si>
  <si>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</si>
  <si>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</si>
  <si>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</si>
  <si>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</si>
  <si>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</si>
  <si>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</si>
  <si>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</si>
  <si>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</si>
  <si>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</si>
  <si>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</si>
  <si>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</si>
  <si>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</si>
  <si>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</si>
  <si>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</si>
  <si>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</si>
  <si>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</si>
  <si>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</si>
  <si>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</si>
  <si>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</si>
  <si>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</si>
  <si>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</si>
  <si>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</si>
  <si>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</si>
  <si>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</si>
  <si>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</si>
  <si>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</si>
  <si>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</si>
  <si>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</si>
  <si>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</si>
  <si>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</si>
  <si>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</si>
  <si>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</si>
  <si>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</si>
  <si>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</si>
  <si>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</si>
  <si>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</si>
  <si>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</si>
  <si>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</si>
  <si>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</si>
  <si>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</si>
  <si>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</si>
  <si>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</si>
  <si>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</si>
  <si>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</si>
  <si>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</si>
  <si>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</si>
  <si>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</si>
  <si>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</si>
  <si>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</si>
  <si>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</si>
  <si>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</si>
  <si>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</si>
  <si>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</si>
  <si>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</si>
  <si>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</si>
  <si>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</si>
  <si>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</si>
  <si>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</si>
  <si>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</si>
  <si>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</si>
  <si>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</si>
  <si>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</si>
  <si>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</si>
  <si>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</si>
  <si>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</si>
  <si>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</si>
  <si>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</si>
  <si>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</si>
  <si>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</si>
  <si>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</si>
  <si>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</si>
  <si>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</si>
  <si>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</si>
  <si>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</si>
  <si>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</si>
  <si>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</si>
  <si>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</si>
  <si>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</si>
  <si>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</si>
  <si>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</si>
  <si>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</si>
  <si>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</si>
  <si>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</si>
  <si>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</si>
  <si>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</si>
  <si>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</si>
  <si>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</si>
  <si>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</si>
  <si>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</si>
  <si>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</si>
  <si>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</si>
  <si>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</si>
  <si>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</si>
  <si>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</si>
  <si>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</si>
  <si>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</si>
  <si>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</si>
  <si>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</si>
  <si>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</si>
  <si>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</si>
  <si>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</si>
  <si>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</si>
  <si>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</si>
  <si>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</si>
  <si>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</si>
  <si>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</si>
  <si>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</si>
  <si>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</si>
  <si>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</si>
  <si>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</si>
  <si>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</si>
  <si>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</si>
  <si>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</si>
  <si>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</si>
  <si>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</si>
  <si>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</si>
  <si>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</si>
  <si>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</si>
  <si>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</si>
  <si>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</si>
  <si>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</si>
  <si>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</si>
  <si>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</si>
  <si>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</si>
  <si>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</si>
  <si>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</si>
  <si>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</si>
  <si>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</si>
  <si>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</si>
  <si>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</si>
  <si>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</si>
  <si>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</si>
  <si>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</si>
  <si>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</si>
  <si>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</si>
  <si>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</si>
  <si>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</si>
  <si>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</si>
  <si>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</si>
  <si>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</si>
  <si>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</si>
  <si>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</si>
  <si>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</si>
  <si>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</si>
  <si>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</si>
  <si>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</si>
  <si>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</si>
  <si>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</si>
  <si>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</si>
  <si>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</si>
  <si>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</si>
  <si>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</si>
  <si>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</si>
  <si>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</si>
  <si>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</si>
  <si>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</si>
  <si>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</si>
  <si>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</si>
  <si>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</si>
  <si>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</si>
  <si>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</si>
  <si>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</si>
  <si>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</si>
  <si>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</si>
  <si>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</si>
  <si>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</si>
  <si>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</si>
  <si>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</si>
  <si>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</si>
  <si>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</si>
  <si>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</si>
  <si>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</si>
  <si>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</si>
  <si>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</si>
  <si>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</si>
  <si>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</si>
  <si>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</si>
  <si>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</si>
  <si>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</si>
  <si>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</si>
  <si>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</si>
  <si>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</si>
  <si>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</si>
  <si>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</si>
  <si>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</si>
  <si>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</si>
  <si>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</si>
  <si>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</si>
  <si>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</si>
  <si>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</si>
  <si>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</si>
  <si>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</si>
  <si>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</si>
  <si>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</si>
  <si>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</si>
  <si>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</si>
  <si>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</si>
  <si>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</si>
  <si>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</si>
  <si>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</si>
  <si>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</si>
  <si>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</si>
  <si>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</si>
  <si>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</si>
  <si>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</si>
  <si>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</si>
  <si>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</si>
  <si>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</si>
  <si>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</si>
  <si>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</si>
  <si>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</si>
  <si>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</si>
  <si>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</si>
  <si>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</si>
  <si>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</si>
  <si>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</si>
  <si>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</si>
  <si>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</si>
  <si>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</si>
  <si>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</si>
  <si>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</si>
  <si>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</si>
  <si>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</si>
  <si>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</si>
  <si>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</si>
  <si>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</si>
  <si>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</si>
  <si>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</si>
  <si>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</si>
  <si>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</si>
  <si>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</si>
  <si>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</si>
  <si>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</si>
  <si>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</si>
  <si>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</si>
  <si>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</si>
  <si>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</si>
  <si>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</si>
  <si>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</si>
  <si>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</si>
  <si>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</si>
  <si>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</si>
  <si>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</si>
  <si>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</si>
  <si>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</si>
  <si>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</si>
  <si>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</si>
  <si>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</si>
  <si>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</si>
  <si>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</si>
  <si>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</si>
  <si>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</si>
  <si>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</si>
  <si>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</si>
  <si>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</si>
  <si>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</si>
  <si>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</si>
  <si>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</si>
  <si>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</si>
  <si>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</si>
  <si>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</si>
  <si>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</si>
  <si>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</si>
  <si>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</si>
  <si>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</si>
  <si>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</si>
  <si>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</si>
  <si>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</si>
  <si>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</si>
  <si>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</si>
  <si>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</si>
  <si>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</si>
  <si>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</si>
  <si>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</si>
  <si>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</si>
  <si>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</si>
  <si>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</si>
  <si>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</si>
  <si>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</si>
  <si>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</si>
  <si>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</si>
  <si>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</si>
  <si>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</si>
  <si>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</si>
  <si>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</si>
  <si>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</si>
  <si>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</si>
  <si>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</si>
  <si>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</si>
  <si>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</si>
  <si>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</si>
  <si>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</si>
  <si>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</si>
  <si>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</si>
  <si>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</si>
  <si>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</si>
  <si>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</si>
  <si>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</si>
  <si>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</si>
  <si>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</si>
  <si>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</si>
  <si>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</si>
  <si>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</si>
  <si>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</si>
  <si>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</si>
  <si>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</si>
  <si>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</si>
  <si>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</si>
  <si>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</si>
  <si>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</si>
  <si>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</si>
  <si>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</si>
  <si>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</si>
  <si>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</si>
  <si>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</si>
  <si>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</si>
  <si>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</si>
  <si>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</si>
  <si>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</si>
  <si>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</si>
  <si>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</si>
  <si>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</si>
  <si>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</si>
  <si>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</si>
  <si>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</si>
  <si>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</si>
  <si>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</si>
  <si>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</si>
  <si>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</si>
  <si>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</si>
  <si>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</si>
  <si>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</si>
  <si>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</si>
  <si>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</si>
  <si>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</si>
  <si>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</si>
  <si>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</si>
  <si>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</si>
  <si>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</si>
  <si>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</si>
  <si>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</si>
  <si>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</si>
  <si>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</si>
  <si>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</si>
  <si>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</si>
  <si>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</si>
  <si>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</si>
  <si>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</si>
  <si>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</si>
  <si>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</si>
  <si>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</si>
  <si>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</si>
  <si>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</si>
  <si>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</si>
  <si>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</si>
  <si>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</si>
  <si>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</si>
  <si>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</si>
  <si>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</si>
  <si>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</si>
  <si>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</si>
  <si>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</si>
  <si>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</si>
  <si>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2019 Q1</t>
  </si>
  <si>
    <t>ACTUALS</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</si>
  <si>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</si>
  <si>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</si>
  <si>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</si>
  <si>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</si>
  <si>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</si>
  <si>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</si>
  <si>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</si>
  <si>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</si>
  <si>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</si>
  <si>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</si>
  <si>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</si>
  <si>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</si>
  <si>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</si>
  <si>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</si>
  <si>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</si>
  <si>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</si>
  <si>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</si>
  <si>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</si>
  <si>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</si>
  <si>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2019 Q3</t>
  </si>
  <si>
    <t xml:space="preserve">   -&gt; Therefore adding at least a 4% tailwind to their current EPS</t>
  </si>
  <si>
    <t>2021E P/E</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</si>
  <si>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</si>
  <si>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</si>
  <si>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</si>
  <si>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</si>
  <si>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</si>
  <si>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</si>
  <si>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</si>
  <si>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</si>
  <si>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</si>
  <si>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</si>
  <si>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</si>
  <si>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SUB-INDUSTRY</t>
  </si>
  <si>
    <t>Q2 2020 potential built in:</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</si>
  <si>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</si>
  <si>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</si>
  <si>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</si>
  <si>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</si>
  <si>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</si>
  <si>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</si>
  <si>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</si>
  <si>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</si>
  <si>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</si>
  <si>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</si>
  <si>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CPI</t>
  </si>
  <si>
    <t>Retail Sales</t>
  </si>
  <si>
    <t>Consumer Sentiment, 10 a.m.</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</si>
  <si>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</si>
  <si>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</si>
  <si>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</si>
  <si>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</si>
  <si>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</si>
  <si>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</si>
  <si>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</si>
  <si>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</si>
  <si>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</si>
  <si>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</si>
  <si>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</si>
  <si>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</si>
  <si>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2020 Q1</t>
  </si>
  <si>
    <t xml:space="preserve">Of the 502 issues (505 in the index) with full operating comparative data </t>
  </si>
  <si>
    <t>413 beat, 77 missed, and 12 met their estimates; 313 of 501 (62.5%) beat on sales</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</si>
  <si>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</si>
  <si>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</si>
  <si>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</si>
  <si>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</si>
  <si>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</si>
  <si>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</si>
  <si>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</si>
  <si>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</si>
  <si>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</si>
  <si>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</si>
  <si>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</si>
  <si>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</si>
  <si>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</si>
  <si>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</si>
  <si>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</si>
  <si>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</si>
  <si>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</si>
  <si>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</si>
  <si>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</si>
  <si>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</si>
  <si>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Index*</t>
  </si>
  <si>
    <t xml:space="preserve">     (*index level data on 3/31/20)</t>
  </si>
  <si>
    <t>Q4,'20 shares at least 4% lower than Q1,'20</t>
  </si>
  <si>
    <t>Pending Home Sales, 10 a.m.</t>
  </si>
  <si>
    <t xml:space="preserve">     (*index level data on 12/31/19</t>
  </si>
  <si>
    <t>2019 EPS</t>
  </si>
  <si>
    <t>2019  P/E</t>
  </si>
  <si>
    <t>6/30/2022</t>
  </si>
  <si>
    <t>2022E Q1</t>
  </si>
  <si>
    <t>2022E Q2</t>
  </si>
  <si>
    <t>2022E Q3</t>
  </si>
  <si>
    <t>2022E Q4</t>
  </si>
  <si>
    <t>2022E EPS</t>
  </si>
  <si>
    <t>2022E P/E</t>
  </si>
  <si>
    <t>2022E</t>
  </si>
  <si>
    <t xml:space="preserve">(change formula in column </t>
  </si>
  <si>
    <t xml:space="preserve">Of the 500 ssues (505 in the index) with full operating comparative data </t>
  </si>
  <si>
    <t>384 beat, 98 missed, and 18 met their estimates; 368 of 498 (73.9%) beat on sales</t>
  </si>
  <si>
    <t>12/31/2022</t>
  </si>
  <si>
    <t>9/30/2022</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</si>
  <si>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</si>
  <si>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</si>
  <si>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</si>
  <si>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</si>
  <si>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</si>
  <si>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</si>
  <si>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</si>
  <si>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</si>
  <si>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</si>
  <si>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</si>
  <si>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Avg fr 1993</t>
  </si>
  <si>
    <t xml:space="preserve">    *Q4 2008 is the only negative quarter in index history</t>
  </si>
  <si>
    <t>PPI</t>
  </si>
  <si>
    <t>Business Inventories, 10 a.m.</t>
  </si>
  <si>
    <t>ISM Services, 10 a.m.</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</si>
  <si>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</si>
  <si>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</si>
  <si>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</si>
  <si>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</si>
  <si>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</si>
  <si>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</si>
  <si>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</si>
  <si>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2021 Q1</t>
  </si>
  <si>
    <t>Durable Goods Orders</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</si>
  <si>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</si>
  <si>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</si>
  <si>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</si>
  <si>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</si>
  <si>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</si>
  <si>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</si>
  <si>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</si>
  <si>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Q2</t>
  </si>
  <si>
    <t>2021 Q2</t>
  </si>
  <si>
    <t>QUARTERLY</t>
  </si>
  <si>
    <t>Personal Income and Outlays</t>
  </si>
  <si>
    <t xml:space="preserve">Of the 500issues (505 in the index) with full operating comparative data </t>
  </si>
  <si>
    <t>401 beat, 84 missed, and 15 met their estimates; 377 of 499 (75.6%) beat on sales</t>
  </si>
  <si>
    <t>WED</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</si>
  <si>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</si>
  <si>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</si>
  <si>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</si>
  <si>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</si>
  <si>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</si>
  <si>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</si>
  <si>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</si>
  <si>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</si>
  <si>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 xml:space="preserve">Q3  </t>
  </si>
  <si>
    <t>2023E Q1</t>
  </si>
  <si>
    <t>2023E Q3</t>
  </si>
  <si>
    <t>12/31/2023</t>
  </si>
  <si>
    <t>9/30/2023</t>
  </si>
  <si>
    <t>6/30/2023</t>
  </si>
  <si>
    <t>3/31/2023</t>
  </si>
  <si>
    <t>2023E Q4</t>
  </si>
  <si>
    <t>2023E Q2</t>
  </si>
  <si>
    <t>2023E EPS</t>
  </si>
  <si>
    <t>2023E P/E</t>
  </si>
  <si>
    <t>PMI Services, 9:45 a.m.</t>
  </si>
  <si>
    <t>Industrial Production</t>
  </si>
  <si>
    <t>International Trade in Goods and Services</t>
  </si>
  <si>
    <t xml:space="preserve">Leading Indicators, 10 a.m. </t>
  </si>
  <si>
    <t>S&amp;P CoreLogic Case-Shiller Home Price Index</t>
  </si>
  <si>
    <t>TUE</t>
  </si>
  <si>
    <t>THU-ATC</t>
  </si>
  <si>
    <t>Motor Vehicle Sales</t>
  </si>
  <si>
    <t>Factory Sales, 10 1.m.</t>
  </si>
  <si>
    <t>Housing Market Index, 10 a.m.</t>
  </si>
  <si>
    <t>Housing Starts and Permits</t>
  </si>
  <si>
    <t>Existing Home Sales, 10 a.m.</t>
  </si>
  <si>
    <t>New Home Sales, 10 a.m.</t>
  </si>
  <si>
    <t>378 beat, 102 missed, and 20 met their estimates; 389 of 499 (78.0%) beat on sales</t>
  </si>
  <si>
    <t>2021 Q4</t>
  </si>
  <si>
    <t>2021 EPS</t>
  </si>
  <si>
    <t>Data based on a combination of reported and estimated sales for Q1,'22</t>
  </si>
  <si>
    <t>% CHG Q1/Q4</t>
  </si>
  <si>
    <t>% CHG Q1/Q1</t>
  </si>
  <si>
    <t>2022</t>
  </si>
  <si>
    <t>Q1 (Q1,'22 est)</t>
  </si>
  <si>
    <t>Q4</t>
  </si>
  <si>
    <t>The average from Q1 1993 is 8.21%</t>
  </si>
  <si>
    <t>C, G &amp; K to use 2023 P/E)</t>
  </si>
  <si>
    <t>2022 EST</t>
  </si>
  <si>
    <t>Q1 2022E</t>
  </si>
  <si>
    <t>Q2 2022E</t>
  </si>
  <si>
    <t>Q3 2022E</t>
  </si>
  <si>
    <t>Q4 2022E</t>
  </si>
  <si>
    <t>2023E</t>
  </si>
  <si>
    <t>Change fr Q1,'21</t>
  </si>
  <si>
    <t xml:space="preserve">Issues with diluted share counts for Q1 2022 over Q1 2021 EPS </t>
  </si>
  <si>
    <t>Q1,'22 lower shares than Q1,'21</t>
  </si>
  <si>
    <t>Q1,'22 higher sharers than Q1,'21</t>
  </si>
  <si>
    <t>Q2 2022 potential built in:</t>
  </si>
  <si>
    <t>Q1,'22 shares at least 4% lower than Q2,'21</t>
  </si>
  <si>
    <t>Q1 2022</t>
  </si>
  <si>
    <t>MON-ATC</t>
  </si>
  <si>
    <t>Industrial Machinery</t>
  </si>
  <si>
    <t>TUE-ATC</t>
  </si>
  <si>
    <t>IT Consulting &amp; Other Services</t>
  </si>
  <si>
    <t>Health Care Equipment</t>
  </si>
  <si>
    <t>WED-ATC</t>
  </si>
  <si>
    <t>Semiconductor Equipment</t>
  </si>
  <si>
    <t>Life Sciences Tools &amp; Services</t>
  </si>
  <si>
    <t>FRI</t>
  </si>
  <si>
    <t>Application Software</t>
  </si>
  <si>
    <t>Semiconductors</t>
  </si>
  <si>
    <t>Communications Equipment</t>
  </si>
  <si>
    <t>Packaged Foods &amp; Meats</t>
  </si>
  <si>
    <t>Electronic Equipment &amp; Instruments</t>
  </si>
  <si>
    <t>Health Care Supplies</t>
  </si>
  <si>
    <t>Interactive Home Entertainment</t>
  </si>
  <si>
    <t>Apparel Accessories &amp; Luxury Goods</t>
  </si>
  <si>
    <t>(P/E on Mar,'22 price)</t>
  </si>
  <si>
    <t>Q4 1996</t>
  </si>
  <si>
    <t>2-Day FOMC meeting</t>
  </si>
  <si>
    <t>JOLTS, 10 a.m.</t>
  </si>
  <si>
    <t>ADP Employment Report</t>
  </si>
  <si>
    <t>FOMC announcement at 2 p.m., conference at 2:30 p.m.</t>
  </si>
  <si>
    <t>Productivity and Costs, 10 a.m.</t>
  </si>
  <si>
    <t>Wholesale Inventories, 10 a.m.</t>
  </si>
  <si>
    <t>Friday the 13th, market up 56.9% vs. 52.3% for all days</t>
  </si>
  <si>
    <t>Import and Export Price</t>
  </si>
  <si>
    <t>I start my 46th year at S&amp;P</t>
  </si>
  <si>
    <t>E-Commerce Retail Sales</t>
  </si>
  <si>
    <t>PMI Composite Flash Report, 9:45 a.m.</t>
  </si>
  <si>
    <t>GDP</t>
  </si>
  <si>
    <t>Corporate Profits</t>
  </si>
  <si>
    <t>International Trade in Goods and Services (advance)</t>
  </si>
  <si>
    <t>Retail Inventories</t>
  </si>
  <si>
    <t>U.S. holiday, markets and banks closed</t>
  </si>
  <si>
    <t>FHFA House Price Index</t>
  </si>
  <si>
    <t>Dividend yield (last 12 months: April 2022)</t>
  </si>
  <si>
    <t>Scheduled S&amp;P 500 earnings release for 5/16-20/2022; ATC stands for after-the-close</t>
  </si>
  <si>
    <t xml:space="preserve">19 issues, 4.5% of the market value </t>
  </si>
  <si>
    <t>TTWO</t>
  </si>
  <si>
    <t>Take-Two Interactive Software, Inc.</t>
  </si>
  <si>
    <t>DISH</t>
  </si>
  <si>
    <t>DISH Network Corporation Class A</t>
  </si>
  <si>
    <t>Cable &amp; Satellite</t>
  </si>
  <si>
    <t>HD</t>
  </si>
  <si>
    <t>Home Depot, Inc.</t>
  </si>
  <si>
    <t>Home Improvement Retail</t>
  </si>
  <si>
    <t>WMT</t>
  </si>
  <si>
    <t>Walmart Inc.</t>
  </si>
  <si>
    <t>Hypermarkets &amp; Super Centers</t>
  </si>
  <si>
    <t>KEYS</t>
  </si>
  <si>
    <t>Keysight Technologies Inc</t>
  </si>
  <si>
    <t>ADI</t>
  </si>
  <si>
    <t>Analog Devices, Inc.</t>
  </si>
  <si>
    <t>LOW</t>
  </si>
  <si>
    <t>Lowe's Companies, Inc.</t>
  </si>
  <si>
    <t>TGT</t>
  </si>
  <si>
    <t>Target Corporation</t>
  </si>
  <si>
    <t>General Merchandise Stores</t>
  </si>
  <si>
    <t>TJX</t>
  </si>
  <si>
    <t>TJX Companies Inc</t>
  </si>
  <si>
    <t>Apparel Retail</t>
  </si>
  <si>
    <t>BBWI</t>
  </si>
  <si>
    <t>Bath &amp; Body Works, Inc.</t>
  </si>
  <si>
    <t>Specialty Stores</t>
  </si>
  <si>
    <t>CSCO</t>
  </si>
  <si>
    <t>Cisco Systems, Inc.</t>
  </si>
  <si>
    <t>CPRT</t>
  </si>
  <si>
    <t>Copart, Inc.</t>
  </si>
  <si>
    <t>Diversified Support Services</t>
  </si>
  <si>
    <t>SNPS</t>
  </si>
  <si>
    <t>Synopsys, Inc.</t>
  </si>
  <si>
    <t>HRL</t>
  </si>
  <si>
    <t>Hormel Foods Corporation</t>
  </si>
  <si>
    <t>AAP</t>
  </si>
  <si>
    <t>Advance Auto Parts, Inc.</t>
  </si>
  <si>
    <t>Automotive Retail</t>
  </si>
  <si>
    <t>AMAT</t>
  </si>
  <si>
    <t>Applied Materials, Inc.</t>
  </si>
  <si>
    <t>ROST</t>
  </si>
  <si>
    <t>Ross Stores, Inc.</t>
  </si>
  <si>
    <t>VFC</t>
  </si>
  <si>
    <t>V.F. Corporation</t>
  </si>
  <si>
    <t>DE</t>
  </si>
  <si>
    <t>Deere &amp; Company</t>
  </si>
  <si>
    <t>Agricultural &amp; Farm Machinery</t>
  </si>
  <si>
    <t>Scheduled S&amp;P 500 earnings release for 5/23-27/2022; ATC stands for after-the-close</t>
  </si>
  <si>
    <t xml:space="preserve">16 issues, 4.2% of the market value </t>
  </si>
  <si>
    <t>NDSN</t>
  </si>
  <si>
    <t>Nordson Corporation</t>
  </si>
  <si>
    <t>AZO</t>
  </si>
  <si>
    <t>AutoZone, Inc.</t>
  </si>
  <si>
    <t>BBY</t>
  </si>
  <si>
    <t>Best Buy Co., Inc.</t>
  </si>
  <si>
    <t>Computer &amp; Electronics Retail</t>
  </si>
  <si>
    <t>RL</t>
  </si>
  <si>
    <t>Ralph Lauren Corporation Class A</t>
  </si>
  <si>
    <t>A</t>
  </si>
  <si>
    <t>Agilent Technologies, Inc.</t>
  </si>
  <si>
    <t>INTU</t>
  </si>
  <si>
    <t>Intuit Inc.</t>
  </si>
  <si>
    <t>DXC</t>
  </si>
  <si>
    <t>DXC Technology Co.</t>
  </si>
  <si>
    <t>NVDA</t>
  </si>
  <si>
    <t>NVIDIA Corporation</t>
  </si>
  <si>
    <t>DG</t>
  </si>
  <si>
    <t>Dollar General Corporation</t>
  </si>
  <si>
    <t>DLTR</t>
  </si>
  <si>
    <t>Dollar Tree, Inc.</t>
  </si>
  <si>
    <t>MDT</t>
  </si>
  <si>
    <t>Medtronic Plc</t>
  </si>
  <si>
    <t>ADSK</t>
  </si>
  <si>
    <t>Autodesk, Inc.</t>
  </si>
  <si>
    <t>COST</t>
  </si>
  <si>
    <t>Costco Wholesale Corporation</t>
  </si>
  <si>
    <t>HPQ</t>
  </si>
  <si>
    <t>HP Inc.</t>
  </si>
  <si>
    <t>Technology Hardware Storage &amp; Peripheral</t>
  </si>
  <si>
    <t>CRM</t>
  </si>
  <si>
    <t>Salesforce, Inc.</t>
  </si>
  <si>
    <t>ULTA</t>
  </si>
  <si>
    <t>Ulta Beauty Inc</t>
  </si>
  <si>
    <t>Scheduled S&amp;P 500 earnings release for 5/30-/6/3/2022; ATC stands for after-the-close</t>
  </si>
  <si>
    <t xml:space="preserve">6 issues, 0.9% of the market value </t>
  </si>
  <si>
    <t>HPE</t>
  </si>
  <si>
    <t>Hewlett Packard Enterprise Co.</t>
  </si>
  <si>
    <t>NTAP</t>
  </si>
  <si>
    <t>NetApp, Inc.</t>
  </si>
  <si>
    <t>PVH</t>
  </si>
  <si>
    <t>PVH Corp.</t>
  </si>
  <si>
    <t>SJM</t>
  </si>
  <si>
    <t>J.M. Smucker Company</t>
  </si>
  <si>
    <t>AVGO</t>
  </si>
  <si>
    <t>Broadcom Inc.</t>
  </si>
  <si>
    <t>COO</t>
  </si>
  <si>
    <t>Cooper Companies, Inc.</t>
  </si>
  <si>
    <t>3/31/2022 (89.1%)</t>
  </si>
  <si>
    <t xml:space="preserve">Of the 456 issues (505 in the index) with full operating comparative data </t>
  </si>
  <si>
    <t>353 beat, 86 missed, and 17 met their estimates; 332 of 453 (73.3%)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</si>
</sst>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10">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 fontId="8" fillId="0" borderId="0" xfId="1" applyNumberFormat="1" applyFont="1" applyAlignment="1">
      <alignment horizontal="right"/>
    </xf>
    <xf numFmtId="1"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10" fontId="77" fillId="0" borderId="0" xfId="0" applyNumberFormat="1" applyFont="1" applyAlignment="1">
      <alignment horizontal="center"/>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14" fontId="54" fillId="0" borderId="0" xfId="1" applyNumberFormat="1" applyFont="1" applyAlignment="1">
      <alignment horizontal="left"/>
    </xf>
    <xf numFmtId="167" fontId="76" fillId="0" borderId="0" xfId="0" applyNumberFormat="1" applyFont="1" applyAlignment="1">
      <alignment horizontal="center"/>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167" fontId="54" fillId="0" borderId="0" xfId="1" applyFont="1" applyAlignment="1">
      <alignment vertical="top"/>
    </xf>
    <xf numFmtId="167" fontId="0" fillId="0" borderId="0" xfId="0" applyAlignment="1"/>
    <xf numFmtId="14" fontId="9" fillId="0" borderId="0" xfId="228" applyNumberFormat="1" applyFont="1" applyAlignment="1">
      <alignment horizontal="left"/>
    </xf>
    <xf numFmtId="14" fontId="54" fillId="0" borderId="0" xfId="228" applyNumberFormat="1" applyFont="1" applyAlignment="1">
      <alignment horizontal="left"/>
    </xf>
    <xf numFmtId="3" fontId="33" fillId="0" borderId="0" xfId="54" applyNumberFormat="1" applyFont="1"/>
    <xf numFmtId="1" fontId="8" fillId="0" borderId="0" xfId="228" applyNumberFormat="1"/>
    <xf numFmtId="171" fontId="8" fillId="0" borderId="0" xfId="228" applyNumberFormat="1" applyAlignment="1">
      <alignment horizontal="right"/>
    </xf>
    <xf numFmtId="3" fontId="9" fillId="0" borderId="0" xfId="54" applyNumberFormat="1" applyFont="1"/>
    <xf numFmtId="1" fontId="8" fillId="0" borderId="0" xfId="228" applyNumberFormat="1" applyAlignment="1">
      <alignment horizontal="right"/>
    </xf>
    <xf numFmtId="10" fontId="9" fillId="0" borderId="0" xfId="54" applyNumberFormat="1" applyFont="1" applyAlignment="1">
      <alignment horizontal="right"/>
    </xf>
    <xf numFmtId="164" fontId="10" fillId="0" borderId="0" xfId="0" applyNumberFormat="1" applyFont="1" applyBorder="1" applyAlignment="1">
      <alignment horizontal="right"/>
    </xf>
    <xf numFmtId="167" fontId="9" fillId="0" borderId="0" xfId="0" applyFont="1" applyAlignment="1">
      <alignment horizontal="left" vertical="top" wrapText="1"/>
    </xf>
    <xf numFmtId="1" fontId="54" fillId="0" borderId="0" xfId="103" applyNumberFormat="1" applyFont="1" applyBorder="1" applyAlignment="1">
      <alignment horizontal="left"/>
    </xf>
    <xf numFmtId="167" fontId="54" fillId="0" borderId="0" xfId="0" applyFont="1" applyAlignment="1">
      <alignment vertical="top"/>
    </xf>
    <xf numFmtId="167" fontId="54" fillId="0" borderId="0" xfId="0" applyFont="1" applyAlignment="1"/>
    <xf numFmtId="167" fontId="84" fillId="0" borderId="0" xfId="0" applyFont="1"/>
    <xf numFmtId="10" fontId="71" fillId="0" borderId="0" xfId="0" applyNumberFormat="1" applyFont="1" applyAlignment="1">
      <alignment horizontal="left"/>
    </xf>
    <xf numFmtId="167" fontId="71" fillId="0" borderId="0" xfId="0" applyFont="1"/>
    <xf numFmtId="2" fontId="8" fillId="0" borderId="0" xfId="248" applyNumberFormat="1" applyFont="1" applyAlignment="1">
      <alignment horizontal="right"/>
    </xf>
    <xf numFmtId="2" fontId="9" fillId="0" borderId="0" xfId="0" applyNumberFormat="1" applyFont="1"/>
    <xf numFmtId="49" fontId="9" fillId="0" borderId="0" xfId="1" applyNumberFormat="1" applyFont="1" applyAlignment="1"/>
    <xf numFmtId="10" fontId="8" fillId="0" borderId="0" xfId="1" applyNumberFormat="1" applyFont="1" applyAlignment="1">
      <alignment horizontal="right"/>
    </xf>
    <xf numFmtId="1" fontId="75" fillId="0" borderId="0" xfId="0" applyNumberFormat="1" applyFont="1" applyAlignment="1"/>
    <xf numFmtId="0" fontId="71"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4" fillId="0" borderId="0" xfId="0" applyFont="1" applyBorder="1" applyAlignment="1">
      <alignment horizontal="right"/>
    </xf>
    <xf numFmtId="14" fontId="0" fillId="0" borderId="0" xfId="0" applyNumberFormat="1" applyAlignment="1">
      <alignment horizontal="right"/>
    </xf>
    <xf numFmtId="14" fontId="9" fillId="0" borderId="0" xfId="0" applyNumberFormat="1" applyFont="1" applyAlignment="1">
      <alignment horizontal="right"/>
    </xf>
    <xf numFmtId="0" fontId="9" fillId="0" borderId="0" xfId="0" applyNumberFormat="1" applyFont="1" applyAlignment="1">
      <alignment horizontal="right"/>
    </xf>
    <xf numFmtId="2" fontId="10" fillId="0" borderId="0" xfId="1" applyNumberFormat="1" applyFont="1" applyBorder="1" applyAlignment="1">
      <alignment horizontal="right"/>
    </xf>
    <xf numFmtId="10" fontId="0" fillId="0" borderId="0" xfId="0" applyNumberFormat="1" applyAlignment="1">
      <alignment horizontal="right"/>
    </xf>
    <xf numFmtId="1" fontId="74" fillId="0" borderId="0" xfId="0" applyNumberFormat="1" applyFont="1" applyAlignment="1"/>
    <xf numFmtId="10" fontId="33" fillId="0" borderId="0" xfId="54" applyNumberFormat="1" applyFont="1" applyBorder="1"/>
    <xf numFmtId="167" fontId="9" fillId="0" borderId="0" xfId="0" applyFont="1" applyAlignment="1">
      <alignment horizontal="left" vertical="top" wrapText="1"/>
    </xf>
    <xf numFmtId="167" fontId="0" fillId="0" borderId="0" xfId="0" applyAlignment="1"/>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97"/>
  <sheetViews>
    <sheetView tabSelected="1" topLeftCell="A122" zoomScaleNormal="100" workbookViewId="0">
      <selection activeCell="A149" sqref="A149"/>
    </sheetView>
  </sheetViews>
  <sheetFormatPr defaultRowHeight="12.75" x14ac:dyDescent="0.35"/>
  <cols>
    <col min="1" max="1" width="18.3984375" customWidth="1"/>
    <col min="2" max="2" width="12.59765625" customWidth="1"/>
    <col min="3" max="3" width="15.86328125" customWidth="1"/>
    <col min="4" max="4" width="16" customWidth="1"/>
    <col min="5" max="5" width="13.59765625" customWidth="1"/>
    <col min="6" max="6" width="15.1328125" customWidth="1"/>
    <col min="7" max="7" width="14.73046875" customWidth="1"/>
    <col min="8" max="8" width="15.1328125" customWidth="1"/>
    <col min="9" max="9" width="14.265625" customWidth="1"/>
    <col min="10" max="10" width="14.1328125" bestFit="1" customWidth="1"/>
    <col min="11" max="11" width="16" bestFit="1" customWidth="1"/>
    <col min="12" max="12" width="15.3984375" bestFit="1" customWidth="1"/>
    <col min="13" max="13" width="11.265625" bestFit="1" customWidth="1"/>
    <col min="14" max="16" width="9" bestFit="1" customWidth="1"/>
    <col min="17" max="22" width="8.265625" bestFit="1" customWidth="1"/>
    <col min="24" max="24" width="10.1328125" customWidth="1"/>
  </cols>
  <sheetData>
    <row r="1" spans="1:28" s="120" customFormat="1" ht="15" x14ac:dyDescent="0.4">
      <c r="A1" s="270" t="s">
        <v>149</v>
      </c>
      <c r="B1" s="113"/>
      <c r="C1" s="113"/>
      <c r="D1" s="113"/>
      <c r="F1" s="271"/>
      <c r="G1" s="271"/>
      <c r="I1" s="272"/>
      <c r="K1" s="227"/>
    </row>
    <row r="2" spans="1:28" s="120" customFormat="1" ht="15" x14ac:dyDescent="0.4">
      <c r="A2" s="268">
        <f>D114</f>
        <v>44693</v>
      </c>
      <c r="B2" s="113"/>
      <c r="C2" s="113"/>
      <c r="D2" s="113"/>
      <c r="E2" s="273"/>
      <c r="F2" s="113"/>
      <c r="G2" s="113"/>
      <c r="H2" s="113"/>
      <c r="I2" s="272"/>
      <c r="K2" s="227"/>
      <c r="L2" s="274"/>
      <c r="M2" s="287"/>
      <c r="N2" s="287"/>
      <c r="O2" s="287"/>
      <c r="P2" s="287"/>
      <c r="Q2" s="287"/>
    </row>
    <row r="3" spans="1:28" s="120" customFormat="1" ht="15" x14ac:dyDescent="0.4">
      <c r="A3" s="178" t="s">
        <v>7</v>
      </c>
      <c r="B3" s="113"/>
      <c r="C3" s="113"/>
      <c r="D3" s="113"/>
      <c r="E3" s="113"/>
      <c r="F3" s="113"/>
      <c r="G3" s="113"/>
      <c r="H3" s="113"/>
      <c r="I3" s="272"/>
      <c r="J3" s="130"/>
      <c r="K3" s="227"/>
      <c r="L3" s="274"/>
      <c r="M3" s="287"/>
      <c r="N3" s="287"/>
      <c r="O3" s="287"/>
      <c r="P3" s="287"/>
      <c r="Q3" s="287"/>
    </row>
    <row r="4" spans="1:28" s="120" customFormat="1" ht="15" x14ac:dyDescent="0.4">
      <c r="A4" s="113"/>
      <c r="B4" s="113"/>
      <c r="C4" s="113" t="s">
        <v>22</v>
      </c>
      <c r="D4" s="113"/>
      <c r="E4" s="113" t="s">
        <v>403</v>
      </c>
      <c r="F4" s="113"/>
      <c r="G4" s="113"/>
      <c r="H4" s="113"/>
      <c r="I4" s="113"/>
      <c r="J4" s="272"/>
      <c r="K4" s="227"/>
      <c r="L4" s="287"/>
      <c r="M4" s="287"/>
      <c r="N4" s="287"/>
      <c r="O4" s="287"/>
      <c r="P4" s="287"/>
      <c r="Q4" s="287"/>
      <c r="T4" s="287"/>
    </row>
    <row r="5" spans="1:28" s="7" customFormat="1" ht="15" x14ac:dyDescent="0.4">
      <c r="A5" s="6"/>
      <c r="B5" s="6"/>
      <c r="C5" s="6"/>
      <c r="D5" s="6"/>
      <c r="E5" s="6"/>
      <c r="F5" s="6"/>
      <c r="G5" s="6"/>
      <c r="H5" s="6"/>
      <c r="I5" s="6"/>
      <c r="J5" s="90"/>
      <c r="K5" s="227"/>
      <c r="L5" s="287"/>
      <c r="M5" s="287"/>
      <c r="N5" s="287"/>
      <c r="O5" s="287"/>
      <c r="P5" s="287"/>
      <c r="Q5" s="287"/>
      <c r="R5" s="120"/>
      <c r="S5" s="120"/>
      <c r="T5" s="287"/>
      <c r="U5" s="120"/>
      <c r="V5" s="120"/>
      <c r="W5" s="120"/>
      <c r="X5" s="120"/>
      <c r="Y5" s="120"/>
      <c r="Z5" s="120"/>
      <c r="AA5" s="120"/>
      <c r="AB5" s="120"/>
    </row>
    <row r="6" spans="1:28" s="7" customFormat="1" ht="15" x14ac:dyDescent="0.4">
      <c r="A6" s="6"/>
      <c r="B6" s="6"/>
      <c r="C6" s="6"/>
      <c r="D6" s="6"/>
      <c r="E6" s="6"/>
      <c r="F6" s="6"/>
      <c r="G6" s="6"/>
      <c r="H6" s="6"/>
      <c r="I6" s="6"/>
      <c r="J6" s="90"/>
      <c r="K6" s="227"/>
      <c r="L6" s="287"/>
      <c r="M6" s="287"/>
      <c r="N6" s="287"/>
      <c r="O6" s="120"/>
      <c r="P6" s="120"/>
      <c r="Q6" s="120"/>
      <c r="R6" s="287"/>
      <c r="S6" s="120"/>
      <c r="T6" s="120"/>
      <c r="U6" s="120"/>
      <c r="V6" s="120"/>
      <c r="W6" s="120"/>
      <c r="X6" s="120"/>
      <c r="Y6" s="120"/>
    </row>
    <row r="7" spans="1:28" s="213" customFormat="1" ht="17.25" x14ac:dyDescent="0.45">
      <c r="A7" s="214" t="s">
        <v>149</v>
      </c>
      <c r="B7" s="214"/>
      <c r="C7" s="214"/>
      <c r="D7" s="215"/>
      <c r="E7" s="216"/>
      <c r="F7" s="231"/>
      <c r="G7" s="231"/>
      <c r="H7" s="231"/>
      <c r="I7" s="231"/>
      <c r="J7" s="231"/>
      <c r="L7" s="288"/>
      <c r="M7" s="288"/>
      <c r="N7" s="288"/>
      <c r="O7" s="288"/>
      <c r="P7" s="288"/>
      <c r="Q7" s="288"/>
      <c r="R7" s="120"/>
      <c r="S7" s="120"/>
      <c r="T7" s="120"/>
      <c r="U7" s="120"/>
      <c r="V7" s="120"/>
      <c r="W7" s="120"/>
      <c r="X7" s="120"/>
      <c r="Y7" s="120"/>
      <c r="Z7" s="120"/>
    </row>
    <row r="8" spans="1:28" s="213" customFormat="1" ht="17.25" x14ac:dyDescent="0.45">
      <c r="A8" s="214" t="s">
        <v>412</v>
      </c>
      <c r="B8" s="214"/>
      <c r="C8" s="214"/>
      <c r="D8" s="215"/>
      <c r="E8" s="216"/>
      <c r="F8" s="231"/>
      <c r="G8" s="231"/>
      <c r="H8" s="231"/>
      <c r="I8" s="231"/>
      <c r="J8" s="214"/>
      <c r="K8" s="214" t="s">
        <v>467</v>
      </c>
      <c r="L8" s="231"/>
    </row>
    <row r="9" spans="1:28" s="213" customFormat="1" ht="17.649999999999999" x14ac:dyDescent="0.5">
      <c r="A9" s="214" t="s">
        <v>137</v>
      </c>
      <c r="B9" s="214"/>
      <c r="C9" s="297">
        <v>2021</v>
      </c>
      <c r="D9" s="297">
        <v>2020</v>
      </c>
      <c r="E9" s="219" t="s">
        <v>571</v>
      </c>
      <c r="F9" s="219" t="s">
        <v>556</v>
      </c>
      <c r="G9" s="219" t="s">
        <v>499</v>
      </c>
      <c r="H9" s="219" t="s">
        <v>287</v>
      </c>
      <c r="I9" s="219" t="s">
        <v>643</v>
      </c>
      <c r="J9" s="219"/>
      <c r="K9" s="214"/>
      <c r="L9" s="219" t="s">
        <v>564</v>
      </c>
      <c r="M9" s="219" t="s">
        <v>468</v>
      </c>
      <c r="N9" s="214"/>
      <c r="U9" s="289"/>
      <c r="V9" s="291"/>
    </row>
    <row r="10" spans="1:28" s="213" customFormat="1" ht="17.25" x14ac:dyDescent="0.45">
      <c r="A10" s="214" t="s">
        <v>24</v>
      </c>
      <c r="B10" s="214"/>
      <c r="C10" s="215">
        <v>0.17556445269866636</v>
      </c>
      <c r="D10" s="215">
        <v>0.18015761889441817</v>
      </c>
      <c r="E10" s="215">
        <v>0.16327551726043521</v>
      </c>
      <c r="F10" s="215">
        <v>0.16972988918530679</v>
      </c>
      <c r="G10" s="215">
        <v>0.15810474952687142</v>
      </c>
      <c r="H10" s="215">
        <v>0.24286915981967785</v>
      </c>
      <c r="I10" s="215">
        <v>0.34972387949312167</v>
      </c>
      <c r="J10" s="215"/>
      <c r="K10" s="227" t="s">
        <v>541</v>
      </c>
      <c r="L10" s="215">
        <v>0.30306087301716372</v>
      </c>
      <c r="M10" s="215">
        <v>0.3111017960937108</v>
      </c>
      <c r="N10" s="230"/>
      <c r="O10" s="214"/>
      <c r="V10" s="291"/>
    </row>
    <row r="11" spans="1:28" s="213" customFormat="1" ht="17.25" x14ac:dyDescent="0.45">
      <c r="A11" s="214" t="s">
        <v>497</v>
      </c>
      <c r="B11" s="214"/>
      <c r="C11" s="215">
        <v>0.184566116838908</v>
      </c>
      <c r="D11" s="215">
        <v>0.21057087847085293</v>
      </c>
      <c r="E11" s="215">
        <v>0.17523772559673978</v>
      </c>
      <c r="F11" s="215">
        <v>0.18243046099980548</v>
      </c>
      <c r="G11" s="215">
        <v>0.22203323938186412</v>
      </c>
      <c r="H11" s="215">
        <v>0.2913125723481747</v>
      </c>
      <c r="I11" s="215">
        <v>0.35376447876447881</v>
      </c>
      <c r="J11" s="215"/>
      <c r="K11" s="227">
        <v>44561</v>
      </c>
      <c r="L11" s="215">
        <v>0.16327551726043521</v>
      </c>
      <c r="M11" s="215">
        <v>0.17556445269866636</v>
      </c>
      <c r="N11" s="248"/>
      <c r="O11" s="215"/>
    </row>
    <row r="12" spans="1:28" s="213" customFormat="1" ht="17.25" x14ac:dyDescent="0.45">
      <c r="A12" s="214" t="s">
        <v>406</v>
      </c>
      <c r="B12" s="214"/>
      <c r="C12" s="215">
        <v>0.1919750585665721</v>
      </c>
      <c r="D12" s="215">
        <v>0.2787228746465949</v>
      </c>
      <c r="E12" s="215">
        <v>0.12028277743320467</v>
      </c>
      <c r="F12" s="215">
        <v>0.21953284450827729</v>
      </c>
      <c r="G12" s="215">
        <v>0.21489664173017317</v>
      </c>
      <c r="H12" s="215">
        <v>0.30612987158324712</v>
      </c>
      <c r="I12" s="215">
        <v>0.35571182548794489</v>
      </c>
      <c r="J12" s="215"/>
      <c r="K12" s="227">
        <v>44440</v>
      </c>
      <c r="L12" s="215">
        <v>0.16972988918530679</v>
      </c>
      <c r="M12" s="215"/>
      <c r="N12" s="248"/>
      <c r="O12" s="215"/>
    </row>
    <row r="13" spans="1:28" s="213" customFormat="1" ht="17.25" x14ac:dyDescent="0.45">
      <c r="A13" s="214" t="s">
        <v>407</v>
      </c>
      <c r="B13" s="214"/>
      <c r="C13" s="215">
        <v>0.21664917786115212</v>
      </c>
      <c r="D13" s="215">
        <v>0.23512277607060397</v>
      </c>
      <c r="E13" s="215">
        <v>0.1915244508022706</v>
      </c>
      <c r="F13" s="215">
        <v>0.23453867796223049</v>
      </c>
      <c r="G13" s="215">
        <v>0.24681156401175847</v>
      </c>
      <c r="H13" s="215">
        <v>0.31071804458128466</v>
      </c>
      <c r="I13" s="215">
        <v>0.37623868254081416</v>
      </c>
      <c r="J13" s="215"/>
      <c r="K13" s="227">
        <v>44377</v>
      </c>
      <c r="L13" s="215">
        <v>0.18650211443859496</v>
      </c>
      <c r="M13" s="215"/>
      <c r="N13" s="227"/>
      <c r="O13" s="215"/>
    </row>
    <row r="14" spans="1:28" s="213" customFormat="1" ht="17.25" x14ac:dyDescent="0.45">
      <c r="A14" s="214" t="s">
        <v>128</v>
      </c>
      <c r="B14" s="214"/>
      <c r="C14" s="215">
        <v>0.24837155100207575</v>
      </c>
      <c r="D14" s="215">
        <v>0.12795891061937437</v>
      </c>
      <c r="E14" s="215">
        <v>0.22847987278564502</v>
      </c>
      <c r="F14" s="215">
        <v>0.25211856009259043</v>
      </c>
      <c r="G14" s="215">
        <v>0.226447137143682</v>
      </c>
      <c r="H14" s="215">
        <v>-0.58220595257042818</v>
      </c>
      <c r="I14" s="215">
        <v>0.38072029430372334</v>
      </c>
      <c r="J14" s="215"/>
      <c r="K14" s="227">
        <v>44256</v>
      </c>
      <c r="L14" s="215">
        <v>0.18412318722058663</v>
      </c>
      <c r="M14" s="215"/>
      <c r="N14" s="227"/>
      <c r="O14" s="215"/>
    </row>
    <row r="15" spans="1:28" s="213" customFormat="1" ht="17.25" x14ac:dyDescent="0.45">
      <c r="A15" s="214" t="s">
        <v>134</v>
      </c>
      <c r="B15" s="214"/>
      <c r="C15" s="215">
        <v>0.18965678802156538</v>
      </c>
      <c r="D15" s="215">
        <v>0.17577957798950519</v>
      </c>
      <c r="E15" s="215">
        <v>0.18850520226181089</v>
      </c>
      <c r="F15" s="215">
        <v>0.19315356907310638</v>
      </c>
      <c r="G15" s="215">
        <v>0.18371282189262211</v>
      </c>
      <c r="H15" s="215">
        <v>0.25337395538915197</v>
      </c>
      <c r="I15" s="215">
        <v>0.33118885106837986</v>
      </c>
      <c r="J15" s="215"/>
      <c r="K15" s="227">
        <v>44166</v>
      </c>
      <c r="L15" s="215">
        <v>0.15810474952687142</v>
      </c>
      <c r="M15" s="262">
        <v>0.18015844594287245</v>
      </c>
      <c r="N15" s="227"/>
      <c r="O15" s="218"/>
    </row>
    <row r="16" spans="1:28" s="213" customFormat="1" ht="17.25" x14ac:dyDescent="0.45">
      <c r="A16" s="214" t="s">
        <v>408</v>
      </c>
      <c r="B16" s="214"/>
      <c r="C16" s="215">
        <v>0.14737070565443491</v>
      </c>
      <c r="D16" s="215">
        <v>0.15297086153771502</v>
      </c>
      <c r="E16" s="215">
        <v>9.1242278578311506E-2</v>
      </c>
      <c r="F16" s="215">
        <v>0.14121390852292109</v>
      </c>
      <c r="G16" s="215">
        <v>3.6013467153867024E-2</v>
      </c>
      <c r="H16" s="215">
        <v>0.16605394302253657</v>
      </c>
      <c r="I16" s="215">
        <v>0.31021897810218979</v>
      </c>
      <c r="J16" s="215"/>
      <c r="K16" s="227">
        <v>44075</v>
      </c>
      <c r="L16" s="215">
        <v>0.17537935049966136</v>
      </c>
      <c r="M16" s="262"/>
      <c r="N16" s="227"/>
      <c r="O16" s="290"/>
    </row>
    <row r="17" spans="1:30" s="213" customFormat="1" ht="17.25" x14ac:dyDescent="0.45">
      <c r="A17" s="214" t="s">
        <v>130</v>
      </c>
      <c r="B17" s="214"/>
      <c r="C17" s="215">
        <v>0.21562515710622893</v>
      </c>
      <c r="D17" s="215">
        <v>0.18527268225105906</v>
      </c>
      <c r="E17" s="215">
        <v>0.21458578584123905</v>
      </c>
      <c r="F17" s="215">
        <v>0.21360026900494036</v>
      </c>
      <c r="G17" s="215">
        <v>0.17728760495232673</v>
      </c>
      <c r="H17" s="215">
        <v>0.24487160006078104</v>
      </c>
      <c r="I17" s="215">
        <v>0.32552283266283821</v>
      </c>
      <c r="J17" s="215"/>
      <c r="K17" s="227">
        <v>43983</v>
      </c>
      <c r="L17" s="215">
        <v>0.21617506824534763</v>
      </c>
      <c r="M17" s="262"/>
      <c r="N17" s="227"/>
      <c r="O17" s="227"/>
      <c r="P17" s="291"/>
      <c r="Q17" s="291"/>
      <c r="R17" s="291"/>
      <c r="S17" s="291"/>
    </row>
    <row r="18" spans="1:30" s="213" customFormat="1" ht="17.25" x14ac:dyDescent="0.45">
      <c r="A18" s="214" t="s">
        <v>409</v>
      </c>
      <c r="B18" s="214"/>
      <c r="C18" s="215">
        <v>0.12317116876219762</v>
      </c>
      <c r="D18" s="215">
        <v>0.12953456670931413</v>
      </c>
      <c r="E18" s="215">
        <v>0.14087619072448843</v>
      </c>
      <c r="F18" s="215">
        <v>8.5388842096819462E-2</v>
      </c>
      <c r="G18" s="215">
        <v>0.12416497571874785</v>
      </c>
      <c r="H18" s="215">
        <v>0.18195135330565632</v>
      </c>
      <c r="I18" s="215">
        <v>0.3576330786952831</v>
      </c>
      <c r="J18" s="215"/>
      <c r="K18" s="227">
        <v>43891</v>
      </c>
      <c r="L18" s="215">
        <v>0.19298374887796252</v>
      </c>
      <c r="M18" s="262"/>
      <c r="N18" s="227"/>
      <c r="O18" s="227"/>
      <c r="P18" s="291"/>
      <c r="Q18" s="291"/>
      <c r="R18" s="291"/>
      <c r="S18" s="291"/>
    </row>
    <row r="19" spans="1:30" s="213" customFormat="1" ht="17.649999999999999" x14ac:dyDescent="0.5">
      <c r="A19" s="214" t="s">
        <v>410</v>
      </c>
      <c r="B19" s="214"/>
      <c r="C19" s="215">
        <v>0.22851024943629453</v>
      </c>
      <c r="D19" s="215">
        <v>0.21980508862580939</v>
      </c>
      <c r="E19" s="215">
        <v>0.2324594534547878</v>
      </c>
      <c r="F19" s="215">
        <v>0.22438531000396239</v>
      </c>
      <c r="G19" s="215">
        <v>0.13372874772163626</v>
      </c>
      <c r="H19" s="215">
        <v>0.33152274837511608</v>
      </c>
      <c r="I19" s="215">
        <v>0.37643784786641932</v>
      </c>
      <c r="J19" s="215"/>
      <c r="K19" s="227">
        <v>43800</v>
      </c>
      <c r="L19" s="215">
        <v>0.13023585857297562</v>
      </c>
      <c r="M19" s="262">
        <v>0.17499301362554726</v>
      </c>
      <c r="N19" s="227"/>
      <c r="O19" s="227"/>
      <c r="P19" s="291"/>
      <c r="Q19" s="291"/>
      <c r="R19" s="291"/>
      <c r="S19" s="291"/>
      <c r="W19" s="289"/>
    </row>
    <row r="20" spans="1:30" s="213" customFormat="1" ht="17.25" x14ac:dyDescent="0.45">
      <c r="A20" s="214" t="s">
        <v>308</v>
      </c>
      <c r="B20" s="214"/>
      <c r="C20" s="215">
        <v>7.6427739593085645E-2</v>
      </c>
      <c r="D20" s="215">
        <v>3.1923084145494142E-2</v>
      </c>
      <c r="E20" s="215">
        <v>6.8256610786325458E-2</v>
      </c>
      <c r="F20" s="215">
        <v>6.3968551773429819E-2</v>
      </c>
      <c r="G20" s="215">
        <v>4.2700592014107565E-2</v>
      </c>
      <c r="H20" s="215">
        <v>3.8222671042665995E-2</v>
      </c>
      <c r="I20" s="215"/>
      <c r="J20" s="215"/>
      <c r="K20" s="227">
        <v>43709</v>
      </c>
      <c r="L20" s="215">
        <v>0.18937222880025092</v>
      </c>
      <c r="M20" s="262"/>
      <c r="N20" s="227"/>
      <c r="O20" s="218"/>
      <c r="W20" s="291"/>
    </row>
    <row r="21" spans="1:30" s="213" customFormat="1" ht="18.75" customHeight="1" x14ac:dyDescent="0.45">
      <c r="A21" s="214" t="s">
        <v>411</v>
      </c>
      <c r="B21" s="214"/>
      <c r="C21" s="215">
        <v>0.11613632350344343</v>
      </c>
      <c r="D21" s="215">
        <v>8.3123923772173383E-2</v>
      </c>
      <c r="E21" s="215">
        <v>7.458479353953984E-2</v>
      </c>
      <c r="F21" s="215">
        <v>0.1033084577114428</v>
      </c>
      <c r="G21" s="215">
        <v>0.11185963309735859</v>
      </c>
      <c r="H21" s="215">
        <v>0.51892998099693033</v>
      </c>
      <c r="I21" s="215">
        <v>0.36080395254260073</v>
      </c>
      <c r="J21" s="215"/>
      <c r="K21" s="227">
        <v>43617</v>
      </c>
      <c r="L21" s="215">
        <v>0.18593454308774915</v>
      </c>
      <c r="M21" s="262"/>
      <c r="N21" s="227"/>
      <c r="O21" s="218"/>
      <c r="AD21" s="291"/>
    </row>
    <row r="22" spans="1:30" s="213" customFormat="1" ht="18.75" customHeight="1" x14ac:dyDescent="0.45">
      <c r="A22" s="217"/>
      <c r="B22" s="217"/>
      <c r="C22" s="217"/>
      <c r="D22" s="217"/>
      <c r="E22" s="215"/>
      <c r="F22" s="215"/>
      <c r="G22" s="215"/>
      <c r="H22" s="215"/>
      <c r="I22" s="215"/>
      <c r="J22" s="215"/>
      <c r="K22" s="227">
        <v>43525</v>
      </c>
      <c r="L22" s="215">
        <v>0.19285859856808674</v>
      </c>
      <c r="M22" s="262"/>
      <c r="N22" s="227"/>
      <c r="O22" s="218"/>
    </row>
    <row r="23" spans="1:30" s="213" customFormat="1" ht="18.75" customHeight="1" x14ac:dyDescent="0.45">
      <c r="A23" s="217"/>
      <c r="B23" s="217"/>
      <c r="C23" s="217"/>
      <c r="D23" s="217"/>
      <c r="E23" s="215"/>
      <c r="F23" s="215"/>
      <c r="G23" s="215"/>
      <c r="H23" s="215"/>
      <c r="I23" s="215"/>
      <c r="J23" s="215"/>
      <c r="K23" s="227">
        <v>43435</v>
      </c>
      <c r="L23" s="215">
        <v>0.13221854398324986</v>
      </c>
      <c r="M23" s="262">
        <v>0.17724000000000001</v>
      </c>
      <c r="O23" s="218"/>
    </row>
    <row r="24" spans="1:30" s="213" customFormat="1" ht="18.75" customHeight="1" x14ac:dyDescent="0.45">
      <c r="A24" s="217"/>
      <c r="B24" s="217"/>
      <c r="C24" s="217"/>
      <c r="D24" s="215"/>
      <c r="E24" s="215"/>
      <c r="F24" s="215"/>
      <c r="G24" s="215"/>
      <c r="H24" s="227"/>
      <c r="I24" s="215"/>
      <c r="J24" s="262"/>
    </row>
    <row r="25" spans="1:30" s="7" customFormat="1" ht="17.25" x14ac:dyDescent="0.45">
      <c r="A25" s="6" t="str">
        <f>'BEATS AND SHARES'!M7</f>
        <v>Q1 2022</v>
      </c>
      <c r="B25" s="6"/>
      <c r="C25" s="6"/>
      <c r="D25" s="6"/>
      <c r="E25" s="6"/>
      <c r="F25" s="6"/>
      <c r="G25" s="6"/>
      <c r="H25" s="227"/>
      <c r="I25" s="215"/>
      <c r="J25" s="262"/>
      <c r="K25" s="91"/>
      <c r="L25" s="213"/>
      <c r="M25" s="213"/>
      <c r="N25" s="213"/>
      <c r="O25" s="213"/>
      <c r="P25" s="213"/>
      <c r="Q25" s="213"/>
      <c r="R25" s="213"/>
      <c r="S25" s="213"/>
      <c r="T25" s="213"/>
      <c r="U25" s="213"/>
      <c r="V25" s="213"/>
      <c r="W25" s="213"/>
      <c r="X25" s="213"/>
      <c r="Y25" s="213"/>
      <c r="Z25" s="213"/>
    </row>
    <row r="26" spans="1:30" s="7" customFormat="1" ht="15" x14ac:dyDescent="0.4">
      <c r="A26" s="6" t="str">
        <f>'BEATS AND SHARES'!M8</f>
        <v xml:space="preserve">Issues with diluted share counts for Q1 2022 over Q1 2021 EPS </v>
      </c>
      <c r="B26" s="6"/>
      <c r="C26" s="6"/>
      <c r="D26" s="6"/>
      <c r="E26" s="6"/>
      <c r="F26" s="6"/>
      <c r="G26" s="6"/>
      <c r="H26" s="227"/>
      <c r="I26" s="215"/>
      <c r="J26" s="262"/>
      <c r="K26" s="82"/>
    </row>
    <row r="27" spans="1:30" s="7" customFormat="1" ht="15" x14ac:dyDescent="0.4">
      <c r="A27" s="6" t="str">
        <f>'BEATS AND SHARES'!M9</f>
        <v xml:space="preserve">   -&gt; Therefore adding at least a 4% tailwind to their current EPS</v>
      </c>
      <c r="B27" s="6"/>
      <c r="C27" s="6"/>
      <c r="D27" s="6"/>
      <c r="E27" s="6"/>
      <c r="F27" s="6"/>
      <c r="G27" s="54"/>
      <c r="H27" s="227"/>
      <c r="I27" s="215"/>
      <c r="J27" s="262"/>
      <c r="K27" s="82"/>
    </row>
    <row r="28" spans="1:30" s="7" customFormat="1" ht="15" x14ac:dyDescent="0.4">
      <c r="A28" s="6" t="str">
        <f>'BEATS AND SHARES'!M10</f>
        <v xml:space="preserve">Issues   </v>
      </c>
      <c r="B28" s="6"/>
      <c r="C28" s="6"/>
      <c r="D28" s="138">
        <f>'BEATS AND SHARES'!N10</f>
        <v>455</v>
      </c>
      <c r="E28" s="138" t="str">
        <f>'BEATS AND SHARES'!O10</f>
        <v>% of issues</v>
      </c>
      <c r="F28" s="6"/>
      <c r="G28" s="138"/>
      <c r="H28" s="227"/>
      <c r="I28" s="215"/>
      <c r="J28" s="262"/>
      <c r="K28" s="90"/>
      <c r="L28" s="91"/>
    </row>
    <row r="29" spans="1:30" s="120" customFormat="1" ht="15" x14ac:dyDescent="0.4">
      <c r="A29" s="6" t="str">
        <f>'BEATS AND SHARES'!M11</f>
        <v>Q1,'22 lower shares than Q1,'21</v>
      </c>
      <c r="B29" s="6"/>
      <c r="C29" s="6"/>
      <c r="D29" s="138">
        <f>'BEATS AND SHARES'!N11</f>
        <v>264</v>
      </c>
      <c r="E29" s="97">
        <f>'BEATS AND SHARES'!O11</f>
        <v>0.58021978021978027</v>
      </c>
      <c r="F29" s="6"/>
      <c r="G29" s="76"/>
      <c r="H29" s="240"/>
      <c r="I29" s="242"/>
      <c r="J29" s="243"/>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77</v>
      </c>
      <c r="E30" s="97">
        <f>'BEATS AND SHARES'!O12</f>
        <v>0.16923076923076924</v>
      </c>
      <c r="F30" s="97"/>
      <c r="G30" s="6"/>
      <c r="H30" s="240"/>
      <c r="I30" s="242"/>
      <c r="J30" s="243"/>
      <c r="K30" s="130"/>
    </row>
    <row r="31" spans="1:30" s="120" customFormat="1" ht="15" x14ac:dyDescent="0.4">
      <c r="A31" s="6" t="str">
        <f>'BEATS AND SHARES'!M13</f>
        <v>Q1,'22 higher sharers than Q1,'21</v>
      </c>
      <c r="B31" s="6"/>
      <c r="C31" s="6"/>
      <c r="D31" s="138">
        <f>'BEATS AND SHARES'!N13</f>
        <v>180</v>
      </c>
      <c r="E31" s="97">
        <f>'BEATS AND SHARES'!O13</f>
        <v>0.39560439560439559</v>
      </c>
      <c r="F31" s="6"/>
      <c r="G31" s="6"/>
      <c r="H31" s="240"/>
      <c r="I31" s="242"/>
      <c r="J31" s="243"/>
      <c r="K31" s="130"/>
    </row>
    <row r="32" spans="1:30" s="120" customFormat="1" ht="15" x14ac:dyDescent="0.4">
      <c r="A32" s="6" t="str">
        <f>'BEATS AND SHARES'!M14</f>
        <v xml:space="preserve">    4% higher shares</v>
      </c>
      <c r="B32" s="6"/>
      <c r="C32" s="6"/>
      <c r="D32" s="138">
        <f>'BEATS AND SHARES'!N14</f>
        <v>34</v>
      </c>
      <c r="E32" s="97">
        <f>'BEATS AND SHARES'!O14</f>
        <v>7.4725274725274723E-2</v>
      </c>
      <c r="F32" s="6"/>
      <c r="G32" s="6"/>
      <c r="H32" s="240"/>
      <c r="I32" s="242"/>
      <c r="J32" s="243"/>
      <c r="K32" s="130"/>
    </row>
    <row r="33" spans="1:46" s="120" customFormat="1" ht="15" x14ac:dyDescent="0.4">
      <c r="A33" s="6"/>
      <c r="B33" s="6"/>
      <c r="C33" s="6"/>
      <c r="D33" s="138"/>
      <c r="E33" s="97"/>
      <c r="F33" s="6"/>
      <c r="G33" s="6"/>
      <c r="H33" s="240"/>
      <c r="I33" s="242"/>
      <c r="J33" s="243"/>
      <c r="K33" s="130"/>
    </row>
    <row r="34" spans="1:46" s="120" customFormat="1" ht="15" x14ac:dyDescent="0.4">
      <c r="A34" s="6" t="s">
        <v>3</v>
      </c>
      <c r="B34" s="6"/>
      <c r="C34" s="6"/>
      <c r="D34" s="76"/>
      <c r="E34" s="97"/>
      <c r="F34" s="6"/>
      <c r="G34" s="6"/>
      <c r="H34"/>
      <c r="I34" s="164"/>
      <c r="J34" s="165"/>
      <c r="K34" s="130"/>
    </row>
    <row r="35" spans="1:46" s="120" customFormat="1" ht="15" x14ac:dyDescent="0.4">
      <c r="A35" s="6"/>
      <c r="B35" s="139"/>
      <c r="C35" s="140"/>
      <c r="D35" s="6"/>
      <c r="E35" s="113"/>
      <c r="F35" s="113"/>
      <c r="G35" s="113"/>
      <c r="H35" s="131"/>
      <c r="I35" s="131"/>
      <c r="J35" s="131"/>
    </row>
    <row r="36" spans="1:46" s="7" customFormat="1" ht="17.649999999999999" x14ac:dyDescent="0.5">
      <c r="A36" s="6" t="s">
        <v>207</v>
      </c>
      <c r="B36" s="135"/>
      <c r="C36" s="135"/>
      <c r="D36" s="264"/>
      <c r="E36" s="135"/>
      <c r="F36" s="135"/>
      <c r="G36" s="131"/>
      <c r="H36" s="135"/>
      <c r="I36" s="135"/>
      <c r="J36" s="135"/>
      <c r="K36" s="131"/>
      <c r="L36" s="131"/>
      <c r="M36" s="91"/>
    </row>
    <row r="37" spans="1:46" s="7" customFormat="1" ht="13.15" x14ac:dyDescent="0.4">
      <c r="A37" s="6"/>
      <c r="B37" s="6"/>
      <c r="C37" s="135" t="s">
        <v>208</v>
      </c>
      <c r="D37" s="135" t="s">
        <v>208</v>
      </c>
      <c r="E37" s="135" t="s">
        <v>208</v>
      </c>
      <c r="F37" s="135" t="s">
        <v>208</v>
      </c>
      <c r="G37" s="135" t="s">
        <v>208</v>
      </c>
      <c r="H37" s="135" t="s">
        <v>208</v>
      </c>
      <c r="I37" s="135" t="s">
        <v>208</v>
      </c>
      <c r="J37" s="135" t="s">
        <v>208</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1"/>
      <c r="AO37" s="131"/>
      <c r="AP37" s="131"/>
      <c r="AQ37" s="131"/>
      <c r="AR37" s="131"/>
      <c r="AS37" s="131"/>
      <c r="AT37" s="91"/>
    </row>
    <row r="38" spans="1:46" s="7" customFormat="1" ht="13.15" x14ac:dyDescent="0.4">
      <c r="A38" s="132"/>
      <c r="B38" s="132"/>
      <c r="C38" s="133">
        <v>45261</v>
      </c>
      <c r="D38" s="133">
        <v>45170</v>
      </c>
      <c r="E38" s="133">
        <v>45078</v>
      </c>
      <c r="F38" s="133">
        <v>44986</v>
      </c>
      <c r="G38" s="133">
        <v>44896</v>
      </c>
      <c r="H38" s="133">
        <v>44805</v>
      </c>
      <c r="I38" s="133">
        <v>44713</v>
      </c>
      <c r="J38" s="133">
        <v>44621</v>
      </c>
      <c r="K38" s="133">
        <v>44531</v>
      </c>
      <c r="L38" s="133">
        <v>44440</v>
      </c>
      <c r="M38" s="133">
        <v>44348</v>
      </c>
      <c r="N38" s="133">
        <v>44256</v>
      </c>
      <c r="O38" s="133">
        <v>44166</v>
      </c>
      <c r="P38" s="133">
        <v>44075</v>
      </c>
      <c r="Q38" s="133">
        <v>43983</v>
      </c>
      <c r="R38" s="133">
        <v>43891</v>
      </c>
      <c r="S38" s="133">
        <v>43800</v>
      </c>
      <c r="T38" s="133">
        <v>43709</v>
      </c>
      <c r="U38" s="133">
        <v>43617</v>
      </c>
      <c r="V38" s="133">
        <v>43525</v>
      </c>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91"/>
    </row>
    <row r="39" spans="1:46" s="7" customFormat="1" ht="13.15" x14ac:dyDescent="0.4">
      <c r="A39" s="136" t="s">
        <v>128</v>
      </c>
      <c r="B39" s="136"/>
      <c r="C39" s="134">
        <v>6.1828830950986131E-2</v>
      </c>
      <c r="D39" s="134">
        <v>6.8968193977616485E-2</v>
      </c>
      <c r="E39" s="134">
        <v>7.3104695445640133E-2</v>
      </c>
      <c r="F39" s="134">
        <v>7.370545017825382E-2</v>
      </c>
      <c r="G39" s="134">
        <v>7.9298261340799051E-2</v>
      </c>
      <c r="H39" s="134">
        <v>9.0436758778681292E-2</v>
      </c>
      <c r="I39" s="134">
        <v>9.9389667138919682E-2</v>
      </c>
      <c r="J39" s="134">
        <v>8.508165210282205E-2</v>
      </c>
      <c r="K39" s="134">
        <v>6.6467759325710724E-2</v>
      </c>
      <c r="L39" s="134">
        <v>5.4623052988606396E-2</v>
      </c>
      <c r="M39" s="134">
        <v>3.3275871174520105E-2</v>
      </c>
      <c r="N39" s="134">
        <v>2.108821512712122E-2</v>
      </c>
      <c r="O39" s="134">
        <v>-6.6963627682851967E-2</v>
      </c>
      <c r="P39" s="134">
        <v>-1.3233411377677569E-2</v>
      </c>
      <c r="Q39" s="134">
        <v>-9.3818376458056282E-2</v>
      </c>
      <c r="R39" s="134">
        <v>-0.14380552888556516</v>
      </c>
      <c r="S39" s="134">
        <v>3.6120875505034665E-3</v>
      </c>
      <c r="T39" s="134">
        <v>4.9591191455734457E-2</v>
      </c>
      <c r="U39" s="134">
        <v>4.2935636270852014E-2</v>
      </c>
      <c r="V39" s="134">
        <v>3.1022457449983772E-2</v>
      </c>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91"/>
    </row>
    <row r="40" spans="1:46" s="7" customFormat="1" ht="13.15" x14ac:dyDescent="0.4">
      <c r="A40" s="136" t="s">
        <v>129</v>
      </c>
      <c r="B40" s="136"/>
      <c r="C40" s="134">
        <v>2.8362997372202721E-2</v>
      </c>
      <c r="D40" s="134">
        <v>3.0018339341941036E-2</v>
      </c>
      <c r="E40" s="134">
        <v>3.4352303575647947E-2</v>
      </c>
      <c r="F40" s="134">
        <v>3.1328308712521305E-2</v>
      </c>
      <c r="G40" s="134">
        <v>3.2261504827668458E-2</v>
      </c>
      <c r="H40" s="134">
        <v>3.5116016610392174E-2</v>
      </c>
      <c r="I40" s="134">
        <v>4.1300339880936295E-2</v>
      </c>
      <c r="J40" s="134">
        <v>3.8897238178825913E-2</v>
      </c>
      <c r="K40" s="134">
        <v>2.9944315520837445E-2</v>
      </c>
      <c r="L40" s="134">
        <v>3.3199347894582697E-2</v>
      </c>
      <c r="M40" s="134">
        <v>3.6272262939883164E-2</v>
      </c>
      <c r="N40" s="134">
        <v>2.6664711549756286E-2</v>
      </c>
      <c r="O40" s="134">
        <v>2.9151102601228142E-2</v>
      </c>
      <c r="P40" s="134">
        <v>2.2320798225734653E-2</v>
      </c>
      <c r="Q40" s="134">
        <v>2.9789998300075934E-2</v>
      </c>
      <c r="R40" s="134">
        <v>3.7347076972630976E-2</v>
      </c>
      <c r="S40" s="134">
        <v>2.0937321303020309E-2</v>
      </c>
      <c r="T40" s="134">
        <v>2.3581818478244171E-2</v>
      </c>
      <c r="U40" s="134">
        <v>2.8388002963270972E-2</v>
      </c>
      <c r="V40" s="134">
        <v>2.2943680311422569E-2</v>
      </c>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91"/>
    </row>
    <row r="41" spans="1:46" s="7" customFormat="1" ht="13.15" x14ac:dyDescent="0.4">
      <c r="A41" s="136" t="s">
        <v>130</v>
      </c>
      <c r="B41" s="136"/>
      <c r="C41" s="134">
        <v>8.1854900185619098E-2</v>
      </c>
      <c r="D41" s="134">
        <v>8.6223241750363236E-2</v>
      </c>
      <c r="E41" s="134">
        <v>8.7787088245424819E-2</v>
      </c>
      <c r="F41" s="134">
        <v>7.4796461129749206E-2</v>
      </c>
      <c r="G41" s="134">
        <v>7.8289047927045566E-2</v>
      </c>
      <c r="H41" s="134">
        <v>8.1063055592864752E-2</v>
      </c>
      <c r="I41" s="134">
        <v>8.1202272827854957E-2</v>
      </c>
      <c r="J41" s="134">
        <v>6.3244258945059778E-2</v>
      </c>
      <c r="K41" s="134">
        <v>6.2003242658706707E-2</v>
      </c>
      <c r="L41" s="134">
        <v>7.2055744899191046E-2</v>
      </c>
      <c r="M41" s="134">
        <v>7.0598352735311079E-2</v>
      </c>
      <c r="N41" s="134">
        <v>5.155185545279236E-2</v>
      </c>
      <c r="O41" s="134">
        <v>3.3336095225214649E-2</v>
      </c>
      <c r="P41" s="134">
        <v>5.2212316871574564E-2</v>
      </c>
      <c r="Q41" s="134">
        <v>3.3095277552134345E-2</v>
      </c>
      <c r="R41" s="134">
        <v>8.4466262105453535E-2</v>
      </c>
      <c r="S41" s="134">
        <v>8.8143412080975286E-2</v>
      </c>
      <c r="T41" s="134">
        <v>0.10239860673325803</v>
      </c>
      <c r="U41" s="134">
        <v>9.8206063301439772E-2</v>
      </c>
      <c r="V41" s="134">
        <v>9.4383943780198543E-2</v>
      </c>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91"/>
    </row>
    <row r="42" spans="1:46" s="7" customFormat="1" ht="13.15" x14ac:dyDescent="0.4">
      <c r="A42" s="136" t="s">
        <v>131</v>
      </c>
      <c r="B42" s="136"/>
      <c r="C42" s="134">
        <v>9.0455630970149803E-2</v>
      </c>
      <c r="D42" s="134">
        <v>9.6388675632744197E-2</v>
      </c>
      <c r="E42" s="134">
        <v>9.2857804087286458E-2</v>
      </c>
      <c r="F42" s="134">
        <v>8.0134482139246926E-2</v>
      </c>
      <c r="G42" s="134">
        <v>8.234128599243111E-2</v>
      </c>
      <c r="H42" s="134">
        <v>8.6842394017578525E-2</v>
      </c>
      <c r="I42" s="134">
        <v>7.470119979671784E-2</v>
      </c>
      <c r="J42" s="134">
        <v>4.4136830654916373E-2</v>
      </c>
      <c r="K42" s="134">
        <v>8.7466395357580731E-2</v>
      </c>
      <c r="L42" s="134">
        <v>7.2849913915032552E-2</v>
      </c>
      <c r="M42" s="134">
        <v>8.116855964923532E-2</v>
      </c>
      <c r="N42" s="134">
        <v>8.0064576160053552E-2</v>
      </c>
      <c r="O42" s="134">
        <v>8.3926553305155416E-2</v>
      </c>
      <c r="P42" s="134">
        <v>9.6834230422286213E-2</v>
      </c>
      <c r="Q42" s="134">
        <v>4.9920735275400571E-2</v>
      </c>
      <c r="R42" s="134">
        <v>6.4976285795153521E-2</v>
      </c>
      <c r="S42" s="134">
        <v>7.8949923128623117E-2</v>
      </c>
      <c r="T42" s="134">
        <v>8.3857891535224771E-2</v>
      </c>
      <c r="U42" s="134">
        <v>8.0193689701778009E-2</v>
      </c>
      <c r="V42" s="134">
        <v>7.6719683595901547E-2</v>
      </c>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91"/>
    </row>
    <row r="43" spans="1:46" s="7" customFormat="1" ht="13.15" x14ac:dyDescent="0.4">
      <c r="A43" s="136" t="s">
        <v>132</v>
      </c>
      <c r="B43" s="136"/>
      <c r="C43" s="134">
        <v>5.23646570356203E-2</v>
      </c>
      <c r="D43" s="134">
        <v>5.6933862574093691E-2</v>
      </c>
      <c r="E43" s="134">
        <v>5.4542186415222342E-2</v>
      </c>
      <c r="F43" s="134">
        <v>5.5293609668803381E-2</v>
      </c>
      <c r="G43" s="134">
        <v>5.3441617998440494E-2</v>
      </c>
      <c r="H43" s="134">
        <v>5.5863304132022597E-2</v>
      </c>
      <c r="I43" s="134">
        <v>5.4666275864932765E-2</v>
      </c>
      <c r="J43" s="134">
        <v>6.1233452621555072E-2</v>
      </c>
      <c r="K43" s="134">
        <v>5.4611219590793431E-2</v>
      </c>
      <c r="L43" s="134">
        <v>6.2258603105900014E-2</v>
      </c>
      <c r="M43" s="134">
        <v>6.0728651184051047E-2</v>
      </c>
      <c r="N43" s="134">
        <v>5.7833279470410295E-2</v>
      </c>
      <c r="O43" s="134">
        <v>6.83834053001387E-2</v>
      </c>
      <c r="P43" s="134">
        <v>8.8366341972296258E-2</v>
      </c>
      <c r="Q43" s="134">
        <v>0.10643223848346312</v>
      </c>
      <c r="R43" s="134">
        <v>0.13541730084366463</v>
      </c>
      <c r="S43" s="134">
        <v>7.5010290800607685E-2</v>
      </c>
      <c r="T43" s="134">
        <v>6.9659106239856425E-2</v>
      </c>
      <c r="U43" s="134">
        <v>6.8083456553515401E-2</v>
      </c>
      <c r="V43" s="134">
        <v>6.5893047072917349E-2</v>
      </c>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91"/>
    </row>
    <row r="44" spans="1:46" s="7" customFormat="1" ht="13.15" x14ac:dyDescent="0.4">
      <c r="A44" s="136" t="s">
        <v>133</v>
      </c>
      <c r="B44" s="136"/>
      <c r="C44" s="134">
        <v>0.14007552770192463</v>
      </c>
      <c r="D44" s="134">
        <v>0.14530116871414372</v>
      </c>
      <c r="E44" s="134">
        <v>0.14747718669351947</v>
      </c>
      <c r="F44" s="134">
        <v>0.15482705596957883</v>
      </c>
      <c r="G44" s="134">
        <v>0.14692174639402891</v>
      </c>
      <c r="H44" s="134">
        <v>0.15774170634441234</v>
      </c>
      <c r="I44" s="134">
        <v>0.16366621768055079</v>
      </c>
      <c r="J44" s="134">
        <v>0.15702501569010766</v>
      </c>
      <c r="K44" s="134">
        <v>0.12804672496975583</v>
      </c>
      <c r="L44" s="134">
        <v>0.15938458223923357</v>
      </c>
      <c r="M44" s="134">
        <v>0.13855169018908775</v>
      </c>
      <c r="N44" s="134">
        <v>0.14967708852330638</v>
      </c>
      <c r="O44" s="134">
        <v>0.13687833406827749</v>
      </c>
      <c r="P44" s="134">
        <v>0.15644356387649591</v>
      </c>
      <c r="Q44" s="134">
        <v>0.21912822116521369</v>
      </c>
      <c r="R44" s="134">
        <v>0.27411358076735504</v>
      </c>
      <c r="S44" s="134">
        <v>0.13001702068822898</v>
      </c>
      <c r="T44" s="134">
        <v>0.13146443467912367</v>
      </c>
      <c r="U44" s="134">
        <v>0.14364162524530483</v>
      </c>
      <c r="V44" s="134">
        <v>0.14523575668095678</v>
      </c>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91"/>
    </row>
    <row r="45" spans="1:46" s="7" customFormat="1" ht="13.15" x14ac:dyDescent="0.4">
      <c r="A45" s="136" t="s">
        <v>134</v>
      </c>
      <c r="B45" s="136"/>
      <c r="C45" s="134">
        <v>0.15533623066657404</v>
      </c>
      <c r="D45" s="134">
        <v>0.15542010965484468</v>
      </c>
      <c r="E45" s="134">
        <v>0.16009201873580978</v>
      </c>
      <c r="F45" s="134">
        <v>0.16662556516822488</v>
      </c>
      <c r="G45" s="134">
        <v>0.15101946828314716</v>
      </c>
      <c r="H45" s="134">
        <v>0.14744131882311259</v>
      </c>
      <c r="I45" s="134">
        <v>0.14931520334633935</v>
      </c>
      <c r="J45" s="134">
        <v>0.17038676927468094</v>
      </c>
      <c r="K45" s="134">
        <v>0.22183765241051204</v>
      </c>
      <c r="L45" s="134">
        <v>0.18842467045189615</v>
      </c>
      <c r="M45" s="134">
        <v>0.24292571281619352</v>
      </c>
      <c r="N45" s="134">
        <v>0.24829939567505541</v>
      </c>
      <c r="O45" s="134">
        <v>0.30189627754880344</v>
      </c>
      <c r="P45" s="134">
        <v>0.25116903179095806</v>
      </c>
      <c r="Q45" s="134">
        <v>0.23147927306916238</v>
      </c>
      <c r="R45" s="134">
        <v>-4.5623267347937965E-2</v>
      </c>
      <c r="S45" s="134">
        <v>0.24538375380350166</v>
      </c>
      <c r="T45" s="134">
        <v>0.2158776189021899</v>
      </c>
      <c r="U45" s="134">
        <v>0.21563771923201852</v>
      </c>
      <c r="V45" s="134">
        <v>0.2431744594143414</v>
      </c>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91"/>
    </row>
    <row r="46" spans="1:46" s="7" customFormat="1" ht="13.15" x14ac:dyDescent="0.4">
      <c r="A46" s="136" t="s">
        <v>135</v>
      </c>
      <c r="B46" s="136"/>
      <c r="C46" s="134">
        <v>0.25236218162232416</v>
      </c>
      <c r="D46" s="134">
        <v>0.22111814679728736</v>
      </c>
      <c r="E46" s="134">
        <v>0.21727034280511198</v>
      </c>
      <c r="F46" s="134">
        <v>0.22657926254066221</v>
      </c>
      <c r="G46" s="134">
        <v>0.24576933722181446</v>
      </c>
      <c r="H46" s="134">
        <v>0.2105520813364074</v>
      </c>
      <c r="I46" s="134">
        <v>0.20641221051453312</v>
      </c>
      <c r="J46" s="134">
        <v>0.23187571317865341</v>
      </c>
      <c r="K46" s="134">
        <v>0.21693718812524729</v>
      </c>
      <c r="L46" s="134">
        <v>0.205086701031374</v>
      </c>
      <c r="M46" s="134">
        <v>0.19081128076856094</v>
      </c>
      <c r="N46" s="134">
        <v>0.20187816839267197</v>
      </c>
      <c r="O46" s="134">
        <v>0.27059015402019265</v>
      </c>
      <c r="P46" s="134">
        <v>0.19727223799565261</v>
      </c>
      <c r="Q46" s="134">
        <v>0.25005823867955923</v>
      </c>
      <c r="R46" s="134">
        <v>0.34103374354568744</v>
      </c>
      <c r="S46" s="134">
        <v>0.21514193152032265</v>
      </c>
      <c r="T46" s="134">
        <v>0.17689426750955647</v>
      </c>
      <c r="U46" s="134">
        <v>0.17759221416673865</v>
      </c>
      <c r="V46" s="134">
        <v>0.17127460046056725</v>
      </c>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91"/>
    </row>
    <row r="47" spans="1:46" s="7" customFormat="1" ht="13.15" x14ac:dyDescent="0.4">
      <c r="A47" s="136" t="s">
        <v>382</v>
      </c>
      <c r="B47" s="136"/>
      <c r="C47" s="134">
        <v>0.10454911768429141</v>
      </c>
      <c r="D47" s="134">
        <v>9.786638223800774E-2</v>
      </c>
      <c r="E47" s="134">
        <v>9.7961489328177678E-2</v>
      </c>
      <c r="F47" s="134">
        <v>9.8480831776590491E-2</v>
      </c>
      <c r="G47" s="134">
        <v>0.10006408436824048</v>
      </c>
      <c r="H47" s="134">
        <v>9.2611028418001173E-2</v>
      </c>
      <c r="I47" s="134">
        <v>9.4841886861814495E-2</v>
      </c>
      <c r="J47" s="134">
        <v>0.10080298333392169</v>
      </c>
      <c r="K47" s="134">
        <v>9.9852512529309531E-2</v>
      </c>
      <c r="L47" s="134">
        <v>0.10667449617970566</v>
      </c>
      <c r="M47" s="134">
        <v>0.10962730965750225</v>
      </c>
      <c r="N47" s="134">
        <v>0.11863993376361946</v>
      </c>
      <c r="O47" s="134">
        <v>9.7086167024001371E-2</v>
      </c>
      <c r="P47" s="134">
        <v>9.5541737822440242E-2</v>
      </c>
      <c r="Q47" s="134">
        <v>0.10959983455329352</v>
      </c>
      <c r="R47" s="134">
        <v>0.16094469444506657</v>
      </c>
      <c r="S47" s="134">
        <v>9.9545624889150808E-2</v>
      </c>
      <c r="T47" s="134">
        <v>8.8442668047415338E-2</v>
      </c>
      <c r="U47" s="134">
        <v>9.7342130765203511E-2</v>
      </c>
      <c r="V47" s="134">
        <v>9.9957439163310124E-2</v>
      </c>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91"/>
    </row>
    <row r="48" spans="1:46" s="7" customFormat="1" ht="13.15" x14ac:dyDescent="0.4">
      <c r="A48" s="136" t="s">
        <v>136</v>
      </c>
      <c r="B48" s="136"/>
      <c r="C48" s="134">
        <v>2.0730158591715089E-2</v>
      </c>
      <c r="D48" s="134">
        <v>3.012138331020784E-2</v>
      </c>
      <c r="E48" s="134">
        <v>2.1385207155090551E-2</v>
      </c>
      <c r="F48" s="134">
        <v>2.6732822453581294E-2</v>
      </c>
      <c r="G48" s="134">
        <v>1.9127266922105375E-2</v>
      </c>
      <c r="H48" s="134">
        <v>3.0247940807060395E-2</v>
      </c>
      <c r="I48" s="134">
        <v>2.2251055974551542E-2</v>
      </c>
      <c r="J48" s="134">
        <v>3.0565496750378684E-2</v>
      </c>
      <c r="K48" s="134">
        <v>1.5851976486446578E-2</v>
      </c>
      <c r="L48" s="134">
        <v>2.9828262307052541E-2</v>
      </c>
      <c r="M48" s="134">
        <v>1.9782946742572336E-2</v>
      </c>
      <c r="N48" s="134">
        <v>3.1851883636128508E-2</v>
      </c>
      <c r="O48" s="134">
        <v>3.0011755535102845E-2</v>
      </c>
      <c r="P48" s="134">
        <v>4.2587736205908895E-2</v>
      </c>
      <c r="Q48" s="134">
        <v>4.6984452566128224E-2</v>
      </c>
      <c r="R48" s="134">
        <v>5.7025084589774656E-2</v>
      </c>
      <c r="S48" s="134">
        <v>2.5785244659989826E-2</v>
      </c>
      <c r="T48" s="134">
        <v>4.133186531363179E-2</v>
      </c>
      <c r="U48" s="134">
        <v>2.7155212108525995E-2</v>
      </c>
      <c r="V48" s="134">
        <v>3.4694389069537583E-2</v>
      </c>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91"/>
    </row>
    <row r="49" spans="1:46" s="7" customFormat="1" ht="13.15" x14ac:dyDescent="0.4">
      <c r="A49" s="136" t="s">
        <v>308</v>
      </c>
      <c r="B49" s="136"/>
      <c r="C49" s="134">
        <v>1.2079767218592519E-2</v>
      </c>
      <c r="D49" s="134">
        <v>1.1640496008749989E-2</v>
      </c>
      <c r="E49" s="134">
        <v>1.3169677513068884E-2</v>
      </c>
      <c r="F49" s="134">
        <v>1.1496150262787727E-2</v>
      </c>
      <c r="G49" s="134">
        <v>1.1466378724278905E-2</v>
      </c>
      <c r="H49" s="134">
        <v>1.2084395139466738E-2</v>
      </c>
      <c r="I49" s="134">
        <v>1.2253670112849231E-2</v>
      </c>
      <c r="J49" s="134">
        <v>1.6750589269078391E-2</v>
      </c>
      <c r="K49" s="134">
        <v>1.6981013025099731E-2</v>
      </c>
      <c r="L49" s="134">
        <v>1.5614624987425526E-2</v>
      </c>
      <c r="M49" s="134">
        <v>1.6257362143082512E-2</v>
      </c>
      <c r="N49" s="134">
        <v>1.2450892249084508E-2</v>
      </c>
      <c r="O49" s="134">
        <v>1.57037830547372E-2</v>
      </c>
      <c r="P49" s="134">
        <v>1.0485416194330211E-2</v>
      </c>
      <c r="Q49" s="134">
        <v>1.7330106813625189E-2</v>
      </c>
      <c r="R49" s="134">
        <v>3.4104767168716764E-2</v>
      </c>
      <c r="S49" s="134">
        <v>1.7473389575076419E-2</v>
      </c>
      <c r="T49" s="134">
        <v>1.6900531105764897E-2</v>
      </c>
      <c r="U49" s="134">
        <v>2.0824249691352176E-2</v>
      </c>
      <c r="V49" s="134">
        <v>1.4700543000863164E-2</v>
      </c>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91"/>
    </row>
    <row r="50" spans="1:46" s="7" customFormat="1" ht="13.15" x14ac:dyDescent="0.4">
      <c r="A50" s="136" t="s">
        <v>24</v>
      </c>
      <c r="B50" s="136"/>
      <c r="C50" s="134">
        <v>0.99999999999999989</v>
      </c>
      <c r="D50" s="134">
        <v>1</v>
      </c>
      <c r="E50" s="134">
        <v>1</v>
      </c>
      <c r="F50" s="134">
        <v>1.0000000000000002</v>
      </c>
      <c r="G50" s="134">
        <v>1</v>
      </c>
      <c r="H50" s="134">
        <v>0.99999999999999989</v>
      </c>
      <c r="I50" s="134">
        <v>1.0000000000000002</v>
      </c>
      <c r="J50" s="134">
        <v>0.99999999999999989</v>
      </c>
      <c r="K50" s="134">
        <v>1</v>
      </c>
      <c r="L50" s="134">
        <v>1.0000000000000002</v>
      </c>
      <c r="M50" s="134">
        <v>0.99999999999999989</v>
      </c>
      <c r="N50" s="134">
        <v>1</v>
      </c>
      <c r="O50" s="134">
        <v>0.99999999999999989</v>
      </c>
      <c r="P50" s="134">
        <v>1.0000000000000002</v>
      </c>
      <c r="Q50" s="134">
        <v>0.99999999999999989</v>
      </c>
      <c r="R50" s="134">
        <v>0.99999999999999989</v>
      </c>
      <c r="S50" s="134">
        <v>1.0000000000000002</v>
      </c>
      <c r="T50" s="134">
        <v>0.99999999999999989</v>
      </c>
      <c r="U50" s="134">
        <v>0.99999999999999989</v>
      </c>
      <c r="V50" s="134">
        <v>1</v>
      </c>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91"/>
    </row>
    <row r="51" spans="1:46"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46"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46" s="7" customFormat="1" ht="17.649999999999999" x14ac:dyDescent="0.5">
      <c r="A53" s="136"/>
      <c r="B53" s="136"/>
      <c r="C53" s="134"/>
      <c r="D53" s="264"/>
      <c r="E53" s="264"/>
      <c r="F53" s="134"/>
      <c r="G53" s="134"/>
      <c r="H53" s="134"/>
      <c r="I53" s="134"/>
      <c r="J53" s="144"/>
      <c r="K53" s="134"/>
      <c r="L53" s="134"/>
      <c r="M53" s="134"/>
      <c r="N53" s="134"/>
      <c r="O53" s="134"/>
      <c r="P53" s="134"/>
      <c r="Q53" s="134"/>
      <c r="R53" s="91"/>
    </row>
    <row r="54" spans="1:46" s="146" customFormat="1" ht="13.15" x14ac:dyDescent="0.4">
      <c r="A54" s="142" t="s">
        <v>526</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46" s="146" customFormat="1" ht="13.15" x14ac:dyDescent="0.4">
      <c r="A55" s="142" t="s">
        <v>611</v>
      </c>
      <c r="B55" s="142"/>
      <c r="C55" s="143" t="s">
        <v>612</v>
      </c>
      <c r="D55" s="143" t="s">
        <v>217</v>
      </c>
      <c r="E55" s="143" t="s">
        <v>218</v>
      </c>
      <c r="F55" s="143"/>
      <c r="G55" s="143" t="s">
        <v>612</v>
      </c>
      <c r="H55" s="143" t="s">
        <v>217</v>
      </c>
      <c r="I55" s="143" t="s">
        <v>218</v>
      </c>
      <c r="J55" s="143"/>
      <c r="K55" s="143" t="s">
        <v>612</v>
      </c>
      <c r="L55" s="143" t="s">
        <v>217</v>
      </c>
      <c r="M55" s="143" t="s">
        <v>218</v>
      </c>
      <c r="O55" s="147"/>
      <c r="P55" s="147"/>
      <c r="Q55" s="147"/>
      <c r="R55" s="147"/>
      <c r="S55" s="147"/>
      <c r="T55" s="147"/>
      <c r="U55" s="147"/>
    </row>
    <row r="56" spans="1:46" s="146" customFormat="1" ht="13.15" x14ac:dyDescent="0.4">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46" s="146" customFormat="1" ht="13.15" x14ac:dyDescent="0.4">
      <c r="A57" s="148" t="s">
        <v>511</v>
      </c>
      <c r="B57" s="149"/>
      <c r="C57" s="149">
        <f>'SECTOR EPS'!CS8</f>
        <v>17.54</v>
      </c>
      <c r="D57" s="80">
        <v>14.6602431798586</v>
      </c>
      <c r="E57" s="149">
        <f>C57/D57</f>
        <v>1.1964330867374584</v>
      </c>
      <c r="F57" s="149"/>
      <c r="G57" s="149">
        <f>'SECTOR EPS'!CS21</f>
        <v>12.65</v>
      </c>
      <c r="H57" s="94">
        <v>16.309940058964301</v>
      </c>
      <c r="I57" s="149">
        <f t="shared" ref="I57:I68" si="0">G57/H57</f>
        <v>0.77560064318245503</v>
      </c>
      <c r="J57" s="149"/>
      <c r="K57" s="150">
        <f>'SECTOR EPS'!CS34</f>
        <v>12.93</v>
      </c>
      <c r="L57" s="94">
        <v>16.1283992649333</v>
      </c>
      <c r="M57" s="149">
        <f t="shared" ref="M57:M68" si="1">K57/L57</f>
        <v>0.80169146284173864</v>
      </c>
      <c r="O57" s="147"/>
      <c r="P57" s="147"/>
      <c r="Q57" s="147"/>
      <c r="R57" s="147"/>
      <c r="S57" s="147"/>
      <c r="T57" s="147"/>
      <c r="U57" s="147"/>
    </row>
    <row r="58" spans="1:46" ht="13.15" x14ac:dyDescent="0.4">
      <c r="A58" s="148" t="s">
        <v>383</v>
      </c>
      <c r="B58" s="149"/>
      <c r="C58" s="149">
        <f>'SECTOR EPS'!CS17</f>
        <v>16.07</v>
      </c>
      <c r="D58" s="80">
        <v>19.707174119247199</v>
      </c>
      <c r="E58" s="149">
        <f t="shared" ref="E58:E68" si="2">C58/D58</f>
        <v>0.81543908338969218</v>
      </c>
      <c r="F58" s="149"/>
      <c r="G58" s="149">
        <f>'SECTOR EPS'!CS30</f>
        <v>16.04</v>
      </c>
      <c r="H58" s="94">
        <v>19.078422105842201</v>
      </c>
      <c r="I58" s="149">
        <f t="shared" si="0"/>
        <v>0.8407403878064017</v>
      </c>
      <c r="J58" s="149"/>
      <c r="K58" s="150">
        <f>'SECTOR EPS'!CS43</f>
        <v>16.850000000000001</v>
      </c>
      <c r="L58" s="94">
        <v>30.022200630213</v>
      </c>
      <c r="M58" s="149">
        <f t="shared" si="1"/>
        <v>0.56125132889302309</v>
      </c>
      <c r="O58" s="82"/>
      <c r="P58" s="82"/>
      <c r="Q58" s="82"/>
      <c r="R58" s="82"/>
      <c r="S58" s="82"/>
      <c r="T58" s="82"/>
      <c r="U58" s="82"/>
    </row>
    <row r="59" spans="1:46" s="146" customFormat="1" ht="13.15" x14ac:dyDescent="0.4">
      <c r="A59" s="148" t="s">
        <v>131</v>
      </c>
      <c r="B59" s="149"/>
      <c r="C59" s="149">
        <f>'SECTOR EPS'!CS9</f>
        <v>25.65</v>
      </c>
      <c r="D59" s="80">
        <v>28.494518388758099</v>
      </c>
      <c r="E59" s="149">
        <f t="shared" si="2"/>
        <v>0.90017313681355837</v>
      </c>
      <c r="F59" s="149"/>
      <c r="G59" s="149">
        <f>'SECTOR EPS'!CS22</f>
        <v>9.89</v>
      </c>
      <c r="H59" s="94">
        <v>18.518058020409399</v>
      </c>
      <c r="I59" s="149">
        <f t="shared" si="0"/>
        <v>0.53407328074573945</v>
      </c>
      <c r="J59" s="149"/>
      <c r="K59" s="150">
        <f>'SECTOR EPS'!CS35</f>
        <v>6.94</v>
      </c>
      <c r="L59" s="94">
        <v>15.3033567120192</v>
      </c>
      <c r="M59" s="149">
        <f t="shared" si="1"/>
        <v>0.45349527757850339</v>
      </c>
      <c r="O59" s="147"/>
      <c r="P59" s="147"/>
      <c r="Q59" s="147"/>
      <c r="R59" s="147"/>
      <c r="S59" s="147"/>
      <c r="T59" s="147"/>
      <c r="U59" s="147"/>
    </row>
    <row r="60" spans="1:46" s="146" customFormat="1" ht="13.15" x14ac:dyDescent="0.4">
      <c r="A60" s="148" t="s">
        <v>132</v>
      </c>
      <c r="B60" s="149"/>
      <c r="C60" s="149">
        <f>'SECTOR EPS'!CS10</f>
        <v>21.84</v>
      </c>
      <c r="D60" s="80">
        <v>7.42549505907804</v>
      </c>
      <c r="E60" s="149">
        <f t="shared" si="2"/>
        <v>2.9412180368094791</v>
      </c>
      <c r="F60" s="149"/>
      <c r="G60" s="149">
        <f>'SECTOR EPS'!CS23</f>
        <v>15.6</v>
      </c>
      <c r="H60" s="94">
        <v>15.1475456351369</v>
      </c>
      <c r="I60" s="149">
        <f t="shared" si="0"/>
        <v>1.0298698136161126</v>
      </c>
      <c r="J60" s="149"/>
      <c r="K60" s="150">
        <f>'SECTOR EPS'!CS36</f>
        <v>17.27</v>
      </c>
      <c r="L60" s="94">
        <v>36.675851417525102</v>
      </c>
      <c r="M60" s="149">
        <f t="shared" si="1"/>
        <v>0.47088204724669985</v>
      </c>
      <c r="O60" s="147"/>
      <c r="P60" s="147"/>
      <c r="Q60" s="147"/>
      <c r="R60" s="147"/>
      <c r="S60" s="147"/>
      <c r="T60" s="147"/>
      <c r="U60" s="147"/>
    </row>
    <row r="61" spans="1:46" s="146" customFormat="1" ht="13.15" x14ac:dyDescent="0.4">
      <c r="A61" s="148" t="s">
        <v>157</v>
      </c>
      <c r="B61" s="149"/>
      <c r="C61" s="149">
        <f>'SECTOR EPS'!CS11</f>
        <v>8.98</v>
      </c>
      <c r="D61" s="80">
        <v>11.6396319974587</v>
      </c>
      <c r="E61" s="149">
        <f t="shared" si="2"/>
        <v>0.77150205452892484</v>
      </c>
      <c r="F61" s="149"/>
      <c r="G61" s="149">
        <f>'SECTOR EPS'!CS24</f>
        <v>16.63</v>
      </c>
      <c r="H61" s="94">
        <v>10.501630276170999</v>
      </c>
      <c r="I61" s="149">
        <f t="shared" si="0"/>
        <v>1.5835636527534909</v>
      </c>
      <c r="J61" s="149"/>
      <c r="K61" s="150">
        <f>'SECTOR EPS'!CS37</f>
        <v>16.260000000000002</v>
      </c>
      <c r="L61" s="94">
        <v>5.7738210914403396</v>
      </c>
      <c r="M61" s="149">
        <f t="shared" si="1"/>
        <v>2.8161593063743124</v>
      </c>
      <c r="O61" s="147"/>
      <c r="P61" s="147"/>
      <c r="Q61" s="147"/>
      <c r="R61" s="147"/>
      <c r="S61" s="147"/>
      <c r="T61" s="147"/>
      <c r="U61" s="147"/>
    </row>
    <row r="62" spans="1:46" s="146" customFormat="1" ht="13.15" x14ac:dyDescent="0.4">
      <c r="A62" s="148" t="s">
        <v>152</v>
      </c>
      <c r="B62" s="149"/>
      <c r="C62" s="149">
        <f>'SECTOR EPS'!CS12</f>
        <v>12.62</v>
      </c>
      <c r="D62" s="80">
        <v>11.888681478772501</v>
      </c>
      <c r="E62" s="149">
        <f t="shared" si="2"/>
        <v>1.0615138459662901</v>
      </c>
      <c r="F62" s="149"/>
      <c r="G62" s="149">
        <f>'SECTOR EPS'!CS25</f>
        <v>10.220000000000001</v>
      </c>
      <c r="H62" s="94">
        <v>18.0058576053809</v>
      </c>
      <c r="I62" s="149">
        <f t="shared" si="0"/>
        <v>0.56759307020987659</v>
      </c>
      <c r="J62" s="149"/>
      <c r="K62" s="150">
        <f>'SECTOR EPS'!CS38</f>
        <v>10.42</v>
      </c>
      <c r="L62" s="94">
        <v>24.182423020626398</v>
      </c>
      <c r="M62" s="149">
        <f t="shared" si="1"/>
        <v>0.43089147812492823</v>
      </c>
      <c r="O62" s="147"/>
      <c r="P62" s="147"/>
      <c r="Q62" s="147"/>
      <c r="R62" s="147"/>
      <c r="S62" s="147"/>
      <c r="T62" s="147"/>
      <c r="U62" s="147"/>
    </row>
    <row r="63" spans="1:46" s="146" customFormat="1" ht="13.15" x14ac:dyDescent="0.4">
      <c r="A63" s="148" t="s">
        <v>133</v>
      </c>
      <c r="B63" s="149"/>
      <c r="C63" s="149">
        <f>'SECTOR EPS'!CS13</f>
        <v>16.2</v>
      </c>
      <c r="D63" s="80">
        <v>8.8757489983504403</v>
      </c>
      <c r="E63" s="149">
        <f t="shared" si="2"/>
        <v>1.825198076580441</v>
      </c>
      <c r="F63" s="149"/>
      <c r="G63" s="149">
        <f>'SECTOR EPS'!CS26</f>
        <v>19.91</v>
      </c>
      <c r="H63" s="94">
        <v>14.2260259274082</v>
      </c>
      <c r="I63" s="149">
        <f t="shared" si="0"/>
        <v>1.3995475687725918</v>
      </c>
      <c r="J63" s="149"/>
      <c r="K63" s="150">
        <f>'SECTOR EPS'!CS39</f>
        <v>31.46</v>
      </c>
      <c r="L63" s="94">
        <v>13.694673816243</v>
      </c>
      <c r="M63" s="149">
        <f t="shared" si="1"/>
        <v>2.2972434701355118</v>
      </c>
      <c r="N63" s="147"/>
      <c r="O63" s="147"/>
      <c r="P63" s="147"/>
      <c r="Q63" s="147"/>
      <c r="R63" s="147"/>
      <c r="S63" s="147"/>
      <c r="T63" s="147"/>
      <c r="U63" s="147"/>
    </row>
    <row r="64" spans="1:46" s="147" customFormat="1" ht="13.15" x14ac:dyDescent="0.4">
      <c r="A64" s="148" t="s">
        <v>153</v>
      </c>
      <c r="B64" s="149"/>
      <c r="C64" s="149">
        <f>'SECTOR EPS'!CS14</f>
        <v>18.23</v>
      </c>
      <c r="D64" s="80">
        <v>13.259799233344999</v>
      </c>
      <c r="E64" s="149">
        <f t="shared" si="2"/>
        <v>1.3748322790707281</v>
      </c>
      <c r="F64" s="149"/>
      <c r="G64" s="149">
        <f>'SECTOR EPS'!CS27</f>
        <v>14.18</v>
      </c>
      <c r="H64" s="94">
        <v>15.5363511864174</v>
      </c>
      <c r="I64" s="149">
        <f t="shared" si="0"/>
        <v>0.91269821529245643</v>
      </c>
      <c r="J64" s="149"/>
      <c r="K64" s="150">
        <f>'SECTOR EPS'!CS40</f>
        <v>11.41</v>
      </c>
      <c r="L64" s="94">
        <v>12.332026251023301</v>
      </c>
      <c r="M64" s="149">
        <f t="shared" si="1"/>
        <v>0.92523319102188972</v>
      </c>
      <c r="O64" s="82"/>
      <c r="P64" s="82"/>
    </row>
    <row r="65" spans="1:28" s="147" customFormat="1" ht="13.15" x14ac:dyDescent="0.4">
      <c r="A65" s="148" t="s">
        <v>151</v>
      </c>
      <c r="B65" s="149"/>
      <c r="C65" s="149">
        <f>'SECTOR EPS'!CS15</f>
        <v>21.09</v>
      </c>
      <c r="D65" s="80">
        <v>15.420917783998</v>
      </c>
      <c r="E65" s="149">
        <f t="shared" si="2"/>
        <v>1.3676228805191284</v>
      </c>
      <c r="F65" s="149"/>
      <c r="G65" s="149">
        <f>'SECTOR EPS'!CS28</f>
        <v>17.079999999999998</v>
      </c>
      <c r="H65" s="94">
        <v>24.676831150386899</v>
      </c>
      <c r="I65" s="149">
        <f t="shared" si="0"/>
        <v>0.6921472167925502</v>
      </c>
      <c r="J65" s="149"/>
      <c r="K65" s="150">
        <f>'SECTOR EPS'!CS41</f>
        <v>17.37</v>
      </c>
      <c r="L65" s="94">
        <v>16.056329529395601</v>
      </c>
      <c r="M65" s="149">
        <f t="shared" si="1"/>
        <v>1.0818163620894401</v>
      </c>
      <c r="N65"/>
      <c r="O65" s="82"/>
      <c r="P65" s="82"/>
      <c r="Q65" s="82"/>
      <c r="R65" s="82"/>
      <c r="S65" s="82"/>
    </row>
    <row r="66" spans="1:28" ht="13.15" x14ac:dyDescent="0.4">
      <c r="A66" s="148" t="s">
        <v>154</v>
      </c>
      <c r="B66" s="149"/>
      <c r="C66" s="149">
        <f>'SECTOR EPS'!CS16</f>
        <v>13.28</v>
      </c>
      <c r="D66" s="80">
        <v>18.038363515516401</v>
      </c>
      <c r="E66" s="149">
        <f t="shared" si="2"/>
        <v>0.73620869146897328</v>
      </c>
      <c r="F66" s="149"/>
      <c r="G66" s="149">
        <f>'SECTOR EPS'!CS29</f>
        <v>6.36</v>
      </c>
      <c r="H66" s="94">
        <v>21.387353572425599</v>
      </c>
      <c r="I66" s="149">
        <f t="shared" si="0"/>
        <v>0.29737199501858214</v>
      </c>
      <c r="J66" s="149"/>
      <c r="K66" s="150">
        <f>'SECTOR EPS'!CS42</f>
        <v>10.56</v>
      </c>
      <c r="L66" s="94">
        <v>30.771778430558701</v>
      </c>
      <c r="M66" s="149">
        <f t="shared" si="1"/>
        <v>0.34317158573822054</v>
      </c>
      <c r="O66" s="82"/>
      <c r="P66" s="82"/>
      <c r="Q66" s="82"/>
      <c r="R66" s="82"/>
      <c r="S66" s="82"/>
      <c r="T66" s="82"/>
      <c r="U66" s="82"/>
    </row>
    <row r="67" spans="1:28" ht="13.15" x14ac:dyDescent="0.4">
      <c r="A67" s="148" t="s">
        <v>308</v>
      </c>
      <c r="B67" s="149"/>
      <c r="C67" s="149">
        <f>'SECTOR EPS'!CS19</f>
        <v>36.880000000000003</v>
      </c>
      <c r="D67" s="80">
        <v>8.7116094975529599</v>
      </c>
      <c r="E67" s="149">
        <f t="shared" si="2"/>
        <v>4.2334312632309077</v>
      </c>
      <c r="F67" s="149"/>
      <c r="G67" s="149">
        <f>'SECTOR EPS'!CS32</f>
        <v>23.38</v>
      </c>
      <c r="H67" s="94">
        <v>6.3004167485547997</v>
      </c>
      <c r="I67" s="149">
        <f t="shared" si="0"/>
        <v>3.7108656352554683</v>
      </c>
      <c r="J67" s="149"/>
      <c r="K67" s="150">
        <f>'SECTOR EPS'!CS45</f>
        <v>30.97</v>
      </c>
      <c r="L67" s="94">
        <v>15.5011060742737</v>
      </c>
      <c r="M67" s="149">
        <f t="shared" si="1"/>
        <v>1.9979219451571355</v>
      </c>
      <c r="O67" s="82"/>
      <c r="P67" s="82"/>
      <c r="Q67" s="82"/>
      <c r="R67" s="82"/>
      <c r="S67" s="82"/>
      <c r="T67" s="82"/>
      <c r="U67" s="82"/>
    </row>
    <row r="68" spans="1:28" ht="13.15" x14ac:dyDescent="0.4">
      <c r="A68" s="148" t="s">
        <v>209</v>
      </c>
      <c r="B68" s="149"/>
      <c r="C68" s="149">
        <f>'SECTOR EPS'!CS18</f>
        <v>20.86</v>
      </c>
      <c r="D68" s="80">
        <v>6.5467488965086202</v>
      </c>
      <c r="E68" s="149">
        <f t="shared" si="2"/>
        <v>3.1863143569053998</v>
      </c>
      <c r="F68" s="149"/>
      <c r="G68" s="149">
        <f>'SECTOR EPS'!CS31</f>
        <v>15.33</v>
      </c>
      <c r="H68" s="94">
        <v>5.9751711206510203</v>
      </c>
      <c r="I68" s="149">
        <f t="shared" si="0"/>
        <v>2.5656168987390826</v>
      </c>
      <c r="J68" s="149"/>
      <c r="K68" s="150">
        <f>'SECTOR EPS'!CS44</f>
        <v>23.61</v>
      </c>
      <c r="L68" s="94">
        <v>5.8158450486112798</v>
      </c>
      <c r="M68" s="149">
        <f t="shared" si="1"/>
        <v>4.0595992160481726</v>
      </c>
      <c r="O68" s="147"/>
      <c r="P68" s="82"/>
      <c r="Q68" s="82"/>
      <c r="R68" s="82"/>
      <c r="S68" s="82"/>
      <c r="T68" s="82"/>
      <c r="U68" s="82"/>
    </row>
    <row r="69" spans="1:28" ht="13.15" x14ac:dyDescent="0.4">
      <c r="A69" s="148" t="s">
        <v>515</v>
      </c>
      <c r="B69" s="149"/>
      <c r="C69" s="149">
        <v>20.37</v>
      </c>
      <c r="D69" s="80">
        <v>11.2259300344006</v>
      </c>
      <c r="E69" s="149">
        <v>1.8145489894893723</v>
      </c>
      <c r="F69" s="149"/>
      <c r="G69" s="149">
        <v>20.86</v>
      </c>
      <c r="H69" s="94">
        <v>11.3102514937273</v>
      </c>
      <c r="I69" s="149">
        <v>1.84434448796908</v>
      </c>
      <c r="J69" s="149"/>
      <c r="K69" s="150">
        <v>26.5</v>
      </c>
      <c r="L69" s="94">
        <v>12.132310769137099</v>
      </c>
      <c r="M69" s="149">
        <v>2.1842500166919803</v>
      </c>
      <c r="O69" s="147"/>
      <c r="P69" s="82"/>
      <c r="Q69" s="82"/>
      <c r="R69" s="82"/>
      <c r="S69" s="82"/>
      <c r="T69" s="82"/>
      <c r="U69" s="82"/>
    </row>
    <row r="70" spans="1:28" ht="13.15" x14ac:dyDescent="0.4">
      <c r="A70" s="148" t="s">
        <v>512</v>
      </c>
      <c r="B70" s="149"/>
      <c r="C70" s="149">
        <v>14.32</v>
      </c>
      <c r="D70" s="94">
        <v>11.6001469144935</v>
      </c>
      <c r="E70" s="149">
        <v>1.2344671240420455</v>
      </c>
      <c r="F70" s="149"/>
      <c r="G70" s="149">
        <v>12.38</v>
      </c>
      <c r="H70" s="94">
        <v>10.9957714683846</v>
      </c>
      <c r="I70" s="149">
        <v>1.1258873500231774</v>
      </c>
      <c r="J70" s="149"/>
      <c r="K70" s="150">
        <v>12.09</v>
      </c>
      <c r="L70" s="94">
        <v>10.3320710970288</v>
      </c>
      <c r="M70" s="149">
        <v>1.1701429351833175</v>
      </c>
      <c r="O70" s="82"/>
      <c r="P70" s="82"/>
      <c r="Q70" s="82"/>
      <c r="R70" s="82"/>
      <c r="S70" s="82"/>
      <c r="T70" s="82"/>
      <c r="U70" s="82"/>
    </row>
    <row r="71" spans="1:28" ht="13.15" x14ac:dyDescent="0.4">
      <c r="A71" s="148"/>
      <c r="B71" s="149"/>
      <c r="C71" s="149"/>
      <c r="D71" s="94"/>
      <c r="E71" s="149"/>
      <c r="F71" s="149"/>
      <c r="G71" s="149"/>
      <c r="H71" s="6"/>
      <c r="I71" s="6"/>
      <c r="J71" s="90"/>
      <c r="K71" s="150"/>
      <c r="L71" s="94"/>
      <c r="M71" s="149"/>
      <c r="O71" s="147"/>
      <c r="P71" s="82"/>
      <c r="Q71" s="82"/>
      <c r="R71" s="82"/>
      <c r="S71" s="82"/>
      <c r="T71" s="82"/>
      <c r="U71" s="82"/>
    </row>
    <row r="72" spans="1:28" s="7" customFormat="1" ht="13.15" x14ac:dyDescent="0.4">
      <c r="A72" s="6"/>
      <c r="B72" s="6"/>
      <c r="C72" s="6"/>
      <c r="D72" s="6"/>
      <c r="E72" s="6"/>
      <c r="F72" s="6"/>
      <c r="G72" s="6"/>
      <c r="H72" s="6"/>
      <c r="I72" s="6"/>
      <c r="J72" s="90"/>
      <c r="K72" s="91"/>
    </row>
    <row r="73" spans="1:28" s="7" customFormat="1" ht="13.15" x14ac:dyDescent="0.4">
      <c r="A73" s="6" t="s">
        <v>610</v>
      </c>
      <c r="B73" s="6"/>
      <c r="C73" s="6"/>
      <c r="D73" s="6"/>
      <c r="E73" s="6"/>
      <c r="F73" s="6"/>
      <c r="G73" s="6"/>
      <c r="H73" s="6"/>
      <c r="I73" s="6"/>
      <c r="J73" s="90"/>
      <c r="K73" s="91"/>
    </row>
    <row r="74" spans="1:28" s="7" customFormat="1" ht="15" customHeight="1" x14ac:dyDescent="0.5">
      <c r="A74" s="6" t="s">
        <v>256</v>
      </c>
      <c r="B74" s="6"/>
      <c r="C74" s="286"/>
      <c r="D74" s="6"/>
      <c r="E74" s="6"/>
      <c r="F74" s="264"/>
      <c r="G74" s="6"/>
      <c r="H74" s="6"/>
      <c r="I74" s="90"/>
      <c r="J74" s="91"/>
      <c r="K74" s="127"/>
      <c r="L74" s="125"/>
      <c r="M74" s="82"/>
      <c r="N74" s="82"/>
      <c r="O74" s="123"/>
      <c r="P74" s="16"/>
      <c r="Q74" s="16"/>
      <c r="R74" s="16"/>
      <c r="S74" s="16"/>
    </row>
    <row r="75" spans="1:28" s="7" customFormat="1" ht="13.15" x14ac:dyDescent="0.4">
      <c r="A75" s="152" t="s">
        <v>180</v>
      </c>
      <c r="B75" s="111" t="s">
        <v>607</v>
      </c>
      <c r="C75" s="111" t="s">
        <v>537</v>
      </c>
      <c r="D75" s="111" t="s">
        <v>470</v>
      </c>
      <c r="E75" s="111" t="s">
        <v>414</v>
      </c>
      <c r="F75" s="111" t="s">
        <v>375</v>
      </c>
      <c r="G75" s="111" t="s">
        <v>346</v>
      </c>
      <c r="H75" s="111" t="s">
        <v>289</v>
      </c>
      <c r="I75" s="111" t="s">
        <v>238</v>
      </c>
      <c r="J75" s="111" t="s">
        <v>194</v>
      </c>
      <c r="K75" s="111" t="s">
        <v>181</v>
      </c>
      <c r="L75" s="111" t="s">
        <v>182</v>
      </c>
      <c r="M75" s="111" t="s">
        <v>183</v>
      </c>
      <c r="N75" s="111" t="s">
        <v>184</v>
      </c>
      <c r="O75" s="111" t="s">
        <v>185</v>
      </c>
      <c r="P75" s="111" t="s">
        <v>248</v>
      </c>
      <c r="Q75" s="111" t="s">
        <v>186</v>
      </c>
      <c r="R75" s="111">
        <v>2006</v>
      </c>
      <c r="S75" s="85"/>
      <c r="T75" s="127"/>
      <c r="U75" s="125"/>
      <c r="V75" s="82"/>
      <c r="W75" s="82"/>
      <c r="X75" s="123"/>
      <c r="Y75" s="16"/>
      <c r="Z75" s="16"/>
      <c r="AA75" s="16"/>
      <c r="AB75" s="16"/>
    </row>
    <row r="76" spans="1:28" s="7" customFormat="1" ht="13.15" x14ac:dyDescent="0.4">
      <c r="A76" s="152" t="s">
        <v>609</v>
      </c>
      <c r="B76" s="15"/>
      <c r="C76" s="15">
        <v>0.13405827346969609</v>
      </c>
      <c r="D76" s="15">
        <v>0.10389729886351276</v>
      </c>
      <c r="E76" s="15">
        <v>0.1061133365471657</v>
      </c>
      <c r="F76" s="15">
        <v>0.10103677208743679</v>
      </c>
      <c r="G76" s="15">
        <v>0.10273270105034775</v>
      </c>
      <c r="H76" s="15">
        <v>9.2655472320979218E-2</v>
      </c>
      <c r="I76" s="15">
        <v>7.9827003131535332E-2</v>
      </c>
      <c r="J76" s="15">
        <v>8.9825643514267486E-2</v>
      </c>
      <c r="K76" s="15">
        <v>9.7596100527673146E-2</v>
      </c>
      <c r="L76" s="15">
        <v>8.0374891429939588E-2</v>
      </c>
      <c r="M76" s="15">
        <v>8.7037751900159097E-2</v>
      </c>
      <c r="N76" s="15">
        <v>8.6771602794317018E-2</v>
      </c>
      <c r="O76" s="15">
        <v>7.2722331971166995E-2</v>
      </c>
      <c r="P76" s="15">
        <v>-4.0601727380559641E-4</v>
      </c>
      <c r="Q76" s="15">
        <v>5.6757159904534601E-2</v>
      </c>
      <c r="R76" s="15">
        <v>8.859790491539081E-2</v>
      </c>
      <c r="S76" s="90"/>
      <c r="T76" s="127"/>
      <c r="U76" s="125"/>
      <c r="V76" s="82"/>
      <c r="W76" s="82"/>
      <c r="X76" s="123"/>
      <c r="Y76" s="16"/>
      <c r="Z76" s="16"/>
      <c r="AA76" s="16"/>
      <c r="AB76" s="16"/>
    </row>
    <row r="77" spans="1:28" s="7" customFormat="1" ht="13.15" x14ac:dyDescent="0.4">
      <c r="A77" s="152" t="s">
        <v>577</v>
      </c>
      <c r="B77" s="15"/>
      <c r="C77" s="15">
        <v>0.13167381826391233</v>
      </c>
      <c r="D77" s="15">
        <v>0.10931318983149081</v>
      </c>
      <c r="E77" s="15">
        <v>0.11213565917616758</v>
      </c>
      <c r="F77" s="15">
        <v>0.12125165670467826</v>
      </c>
      <c r="G77" s="15">
        <v>0.10164749338145562</v>
      </c>
      <c r="H77" s="15">
        <v>9.8641234855432691E-2</v>
      </c>
      <c r="I77" s="15">
        <v>8.9666767807327852E-2</v>
      </c>
      <c r="J77" s="15">
        <v>0.10099287041700378</v>
      </c>
      <c r="K77" s="15">
        <v>9.6345419831311632E-2</v>
      </c>
      <c r="L77" s="15">
        <v>8.9222621802131877E-2</v>
      </c>
      <c r="M77" s="15">
        <v>9.5078937071402136E-2</v>
      </c>
      <c r="N77" s="15">
        <v>8.9519568767415278E-2</v>
      </c>
      <c r="O77" s="15">
        <v>6.9423592264317074E-2</v>
      </c>
      <c r="P77" s="15">
        <v>5.9552238805970152E-2</v>
      </c>
      <c r="Q77" s="15">
        <v>8.0638306093273063E-2</v>
      </c>
      <c r="R77" s="15">
        <v>9.6038365304420351E-2</v>
      </c>
      <c r="S77" s="90"/>
      <c r="T77" s="127"/>
      <c r="U77" s="125"/>
      <c r="V77" s="82"/>
      <c r="W77" s="82"/>
      <c r="X77" s="123"/>
      <c r="Y77" s="16"/>
      <c r="Z77" s="16"/>
      <c r="AA77" s="16"/>
      <c r="AB77" s="16"/>
    </row>
    <row r="78" spans="1:28" s="7" customFormat="1" ht="13.15" x14ac:dyDescent="0.4">
      <c r="A78" s="152" t="s">
        <v>562</v>
      </c>
      <c r="B78" s="15"/>
      <c r="C78" s="15">
        <v>0.13536877284392831</v>
      </c>
      <c r="D78" s="15">
        <v>8.4883373900301803E-2</v>
      </c>
      <c r="E78" s="15">
        <v>0.11406268926786187</v>
      </c>
      <c r="F78" s="15">
        <v>0.11549800920667584</v>
      </c>
      <c r="G78" s="15">
        <v>0.10136874401202751</v>
      </c>
      <c r="H78" s="15">
        <v>9.0304491689420285E-2</v>
      </c>
      <c r="I78" s="15">
        <v>9.2909676243833034E-2</v>
      </c>
      <c r="J78" s="15">
        <v>0.10073379317750085</v>
      </c>
      <c r="K78" s="15">
        <v>9.5105041999730258E-2</v>
      </c>
      <c r="L78" s="15">
        <v>9.4089696894151781E-2</v>
      </c>
      <c r="M78" s="15">
        <v>9.4411857923775475E-2</v>
      </c>
      <c r="N78" s="15">
        <v>8.8277449464547783E-2</v>
      </c>
      <c r="O78" s="15">
        <v>6.1877107726682479E-2</v>
      </c>
      <c r="P78" s="15">
        <v>6.1106523534269201E-2</v>
      </c>
      <c r="Q78" s="15">
        <v>9.4120408402769626E-2</v>
      </c>
      <c r="R78" s="15">
        <v>9.3519662562310937E-2</v>
      </c>
      <c r="S78" s="90"/>
      <c r="T78" s="126"/>
      <c r="U78" s="125"/>
      <c r="V78" s="82"/>
      <c r="W78" s="82"/>
      <c r="X78" s="123"/>
      <c r="Y78" s="16"/>
      <c r="Z78" s="16"/>
      <c r="AA78" s="16"/>
      <c r="AB78" s="16"/>
    </row>
    <row r="79" spans="1:28" s="7" customFormat="1" ht="13.15" x14ac:dyDescent="0.4">
      <c r="A79" s="152" t="s">
        <v>608</v>
      </c>
      <c r="B79" s="15">
        <f>SALES!D32</f>
        <v>0.12085711226354404</v>
      </c>
      <c r="C79" s="15">
        <v>0.13022820502356097</v>
      </c>
      <c r="D79" s="15">
        <v>5.8631263175576244E-2</v>
      </c>
      <c r="E79" s="15">
        <v>0.11211436927857679</v>
      </c>
      <c r="F79" s="15">
        <v>0.1140492079851171</v>
      </c>
      <c r="G79" s="15">
        <v>9.8436000873383014E-2</v>
      </c>
      <c r="H79" s="15">
        <v>8.7472037952982667E-2</v>
      </c>
      <c r="I79" s="15">
        <v>9.4477126926980182E-2</v>
      </c>
      <c r="J79" s="15">
        <v>9.7584898983632068E-2</v>
      </c>
      <c r="K79" s="15">
        <v>9.5171799454255815E-2</v>
      </c>
      <c r="L79" s="15">
        <v>9.0674747758055146E-2</v>
      </c>
      <c r="M79" s="15">
        <v>8.9919776972502266E-2</v>
      </c>
      <c r="N79" s="15">
        <v>8.3401474508591519E-2</v>
      </c>
      <c r="O79" s="15">
        <v>4.560281119508753E-2</v>
      </c>
      <c r="P79" s="15">
        <v>6.2547041999096789E-2</v>
      </c>
      <c r="Q79" s="15">
        <v>9.2337512372154415E-2</v>
      </c>
      <c r="R79" s="15">
        <v>9.0295909486510006E-2</v>
      </c>
      <c r="S79" s="90"/>
      <c r="T79" s="82"/>
      <c r="U79" s="82"/>
      <c r="V79" s="16"/>
      <c r="W79" s="16"/>
      <c r="X79" s="16"/>
      <c r="Y79" s="16"/>
      <c r="Z79" s="16"/>
      <c r="AA79" s="16"/>
      <c r="AB79" s="16"/>
    </row>
    <row r="80" spans="1:28" s="7" customFormat="1" ht="13.15" x14ac:dyDescent="0.4">
      <c r="A80" s="31" t="s">
        <v>542</v>
      </c>
      <c r="B80" s="97"/>
      <c r="C80" s="77"/>
      <c r="D80" s="15"/>
      <c r="E80" s="15"/>
      <c r="F80" s="15"/>
      <c r="G80" s="15"/>
      <c r="H80" s="6"/>
      <c r="I80" s="90"/>
      <c r="J80" s="91"/>
      <c r="K80" s="15"/>
      <c r="L80" s="15"/>
      <c r="M80" s="15"/>
      <c r="N80" s="15"/>
      <c r="O80" s="15"/>
      <c r="P80" s="6"/>
      <c r="Q80" s="90"/>
      <c r="R80" s="91"/>
      <c r="U80" s="16"/>
      <c r="V80" s="16"/>
      <c r="W80" s="16"/>
      <c r="X80" s="16"/>
      <c r="Y80" s="16"/>
      <c r="Z80" s="16"/>
      <c r="AA80" s="16"/>
    </row>
    <row r="81" spans="1:20" s="7" customFormat="1" ht="13.15" x14ac:dyDescent="0.4">
      <c r="A81" s="77" t="s">
        <v>3</v>
      </c>
      <c r="B81" s="15"/>
      <c r="C81" s="15"/>
      <c r="D81" s="15"/>
      <c r="E81" s="15"/>
      <c r="F81" s="15"/>
      <c r="G81" s="94"/>
      <c r="H81" s="32"/>
      <c r="I81" s="16"/>
      <c r="L81" s="16"/>
      <c r="M81" s="16"/>
      <c r="N81" s="16"/>
      <c r="O81" s="16"/>
      <c r="P81" s="16"/>
      <c r="Q81" s="16"/>
      <c r="R81" s="16"/>
    </row>
    <row r="82" spans="1:20" ht="13.15" x14ac:dyDescent="0.4">
      <c r="A82" s="95"/>
      <c r="B82" s="32"/>
      <c r="C82" s="94"/>
      <c r="D82" s="32"/>
      <c r="E82" s="32"/>
      <c r="F82" s="94"/>
      <c r="G82" s="32"/>
      <c r="H82" s="16"/>
      <c r="I82" s="82"/>
      <c r="J82" s="82"/>
      <c r="K82" s="82"/>
      <c r="L82" s="82"/>
      <c r="M82" s="82"/>
      <c r="N82" s="82"/>
    </row>
    <row r="83" spans="1:20" ht="13.15" x14ac:dyDescent="0.4">
      <c r="A83" s="105" t="s">
        <v>156</v>
      </c>
      <c r="B83" s="105" t="s">
        <v>613</v>
      </c>
      <c r="C83" s="105" t="s">
        <v>614</v>
      </c>
      <c r="D83" s="105" t="s">
        <v>615</v>
      </c>
      <c r="E83" s="105" t="s">
        <v>616</v>
      </c>
      <c r="F83" s="106" t="s">
        <v>525</v>
      </c>
      <c r="G83" s="106" t="s">
        <v>617</v>
      </c>
      <c r="H83" s="54" t="s">
        <v>237</v>
      </c>
      <c r="I83" s="154" t="s">
        <v>524</v>
      </c>
      <c r="J83" s="154" t="s">
        <v>587</v>
      </c>
      <c r="K83" s="176" t="str">
        <f t="shared" ref="K83:K91" si="3">A83</f>
        <v>OBSERVATION</v>
      </c>
      <c r="L83" s="7"/>
      <c r="M83" s="7"/>
      <c r="N83" s="82"/>
      <c r="O83" s="82"/>
      <c r="P83" s="82"/>
      <c r="Q83" s="82"/>
      <c r="R83" s="82"/>
      <c r="S83" s="82"/>
      <c r="T83" s="82"/>
    </row>
    <row r="84" spans="1:20" ht="13.15" x14ac:dyDescent="0.4">
      <c r="A84" s="107">
        <v>44286</v>
      </c>
      <c r="B84" s="247">
        <v>45.9</v>
      </c>
      <c r="C84" s="247">
        <v>48.33</v>
      </c>
      <c r="D84" s="247">
        <v>51.87</v>
      </c>
      <c r="E84" s="247">
        <v>53.93</v>
      </c>
      <c r="F84" s="89">
        <v>200.03</v>
      </c>
      <c r="G84" s="89"/>
      <c r="H84" s="32">
        <v>3972.8922084302499</v>
      </c>
      <c r="I84" s="158">
        <f t="shared" ref="I84:I89" si="4">H84/F84</f>
        <v>19.861481819878268</v>
      </c>
      <c r="J84" s="158"/>
      <c r="K84" s="151">
        <f t="shared" si="3"/>
        <v>44286</v>
      </c>
      <c r="L84" s="156"/>
      <c r="N84" s="82"/>
      <c r="O84" s="82"/>
      <c r="P84" s="82"/>
      <c r="Q84" s="82"/>
      <c r="R84" s="82"/>
      <c r="S84" s="82"/>
      <c r="T84" s="82"/>
    </row>
    <row r="85" spans="1:20" ht="13.15" x14ac:dyDescent="0.4">
      <c r="A85" s="107">
        <v>44377</v>
      </c>
      <c r="B85" s="247">
        <v>49.99</v>
      </c>
      <c r="C85" s="247">
        <v>50.91</v>
      </c>
      <c r="D85" s="247">
        <v>53.83</v>
      </c>
      <c r="E85" s="247">
        <v>55.96</v>
      </c>
      <c r="F85" s="89">
        <v>210.69</v>
      </c>
      <c r="G85" s="89"/>
      <c r="H85" s="32">
        <v>4297.4966318818697</v>
      </c>
      <c r="I85" s="158">
        <f t="shared" si="4"/>
        <v>20.397250139455455</v>
      </c>
      <c r="J85" s="158"/>
      <c r="K85" s="151">
        <f t="shared" si="3"/>
        <v>44377</v>
      </c>
      <c r="L85" s="156"/>
      <c r="N85" s="82"/>
      <c r="O85" s="82"/>
      <c r="P85" s="82"/>
      <c r="Q85" s="82"/>
      <c r="R85" s="82"/>
      <c r="S85" s="82"/>
      <c r="T85" s="82"/>
    </row>
    <row r="86" spans="1:20" ht="13.15" x14ac:dyDescent="0.4">
      <c r="A86" s="107">
        <v>44469</v>
      </c>
      <c r="B86" s="247">
        <v>51.15</v>
      </c>
      <c r="C86" s="247">
        <v>53.95</v>
      </c>
      <c r="D86" s="247">
        <v>55.22</v>
      </c>
      <c r="E86" s="247">
        <v>56.99</v>
      </c>
      <c r="F86" s="89">
        <v>217.31000000000003</v>
      </c>
      <c r="G86" s="89"/>
      <c r="H86" s="32">
        <v>4307.5387507897103</v>
      </c>
      <c r="I86" s="158">
        <f t="shared" si="4"/>
        <v>19.822091715934423</v>
      </c>
      <c r="J86" s="158"/>
      <c r="K86" s="151">
        <f t="shared" si="3"/>
        <v>44469</v>
      </c>
      <c r="L86" s="156"/>
      <c r="N86" s="82"/>
      <c r="O86" s="82"/>
      <c r="P86" s="82"/>
      <c r="Q86" s="82"/>
      <c r="R86" s="82"/>
      <c r="S86" s="82"/>
      <c r="T86" s="82"/>
    </row>
    <row r="87" spans="1:20" ht="13.15" x14ac:dyDescent="0.4">
      <c r="A87" s="107">
        <v>44561</v>
      </c>
      <c r="B87" s="247">
        <v>51.46</v>
      </c>
      <c r="C87" s="247">
        <v>54.35</v>
      </c>
      <c r="D87" s="247">
        <v>56.76</v>
      </c>
      <c r="E87" s="247">
        <v>57.54</v>
      </c>
      <c r="F87" s="89">
        <v>220.11</v>
      </c>
      <c r="G87" s="89"/>
      <c r="H87" s="32">
        <v>4766.1829724282998</v>
      </c>
      <c r="I87" s="158">
        <f t="shared" si="4"/>
        <v>21.653641235874332</v>
      </c>
      <c r="J87" s="158"/>
      <c r="K87" s="151">
        <f t="shared" si="3"/>
        <v>44561</v>
      </c>
      <c r="L87" s="156"/>
      <c r="N87" s="82"/>
      <c r="O87" s="82"/>
      <c r="P87" s="82"/>
      <c r="Q87" s="82"/>
      <c r="R87" s="82"/>
      <c r="S87" s="82"/>
      <c r="T87" s="82"/>
    </row>
    <row r="88" spans="1:20" ht="13.15" x14ac:dyDescent="0.4">
      <c r="A88" s="107">
        <v>44651</v>
      </c>
      <c r="B88" s="247">
        <v>51.17</v>
      </c>
      <c r="C88" s="247">
        <v>55.53</v>
      </c>
      <c r="D88" s="247">
        <v>58.71</v>
      </c>
      <c r="E88" s="247">
        <v>60.09</v>
      </c>
      <c r="F88" s="89">
        <v>225.5</v>
      </c>
      <c r="G88" s="89">
        <v>246.79</v>
      </c>
      <c r="H88" s="32">
        <v>4530.4134516834702</v>
      </c>
      <c r="I88" s="158">
        <f t="shared" si="4"/>
        <v>20.090525284627361</v>
      </c>
      <c r="J88" s="158">
        <f>H88/G88</f>
        <v>18.357362339168809</v>
      </c>
      <c r="K88" s="151">
        <f t="shared" si="3"/>
        <v>44651</v>
      </c>
      <c r="L88" s="156"/>
      <c r="N88" s="82"/>
      <c r="O88" s="82"/>
      <c r="P88" s="82"/>
      <c r="Q88" s="82"/>
      <c r="R88" s="82"/>
      <c r="S88" s="82"/>
      <c r="T88" s="82"/>
    </row>
    <row r="89" spans="1:20" ht="13.15" x14ac:dyDescent="0.4">
      <c r="A89" s="107" t="s">
        <v>198</v>
      </c>
      <c r="B89" s="247">
        <f>'SECTOR EPS'!BG8</f>
        <v>49.91</v>
      </c>
      <c r="C89" s="247">
        <f>'SECTOR EPS'!BH8</f>
        <v>55.11</v>
      </c>
      <c r="D89" s="247">
        <f>'SECTOR EPS'!BI8</f>
        <v>59</v>
      </c>
      <c r="E89" s="247">
        <f>'SECTOR EPS'!BJ8</f>
        <v>60.37</v>
      </c>
      <c r="F89" s="89">
        <f>'SECTOR EPS'!CR8</f>
        <v>224.4</v>
      </c>
      <c r="G89" s="89">
        <f>'SECTOR EPS'!CT8</f>
        <v>248.08</v>
      </c>
      <c r="H89" s="32">
        <f>D115</f>
        <v>3930.0819031463702</v>
      </c>
      <c r="I89" s="158">
        <f t="shared" si="4"/>
        <v>17.513733971240509</v>
      </c>
      <c r="J89" s="158">
        <f>H89/G89</f>
        <v>15.841994127484561</v>
      </c>
      <c r="K89" s="151" t="str">
        <f t="shared" si="3"/>
        <v>Current</v>
      </c>
      <c r="L89" s="156"/>
      <c r="N89" s="82"/>
      <c r="O89" s="82"/>
      <c r="P89" s="82"/>
      <c r="Q89" s="82"/>
      <c r="R89" s="82"/>
      <c r="S89" s="82"/>
      <c r="T89" s="82"/>
    </row>
    <row r="90" spans="1:20" ht="13.15" x14ac:dyDescent="0.4">
      <c r="A90" s="107" t="s">
        <v>471</v>
      </c>
      <c r="B90" s="175">
        <f>B89/B88-1</f>
        <v>-2.4623803009576006E-2</v>
      </c>
      <c r="C90" s="175">
        <f t="shared" ref="C90:J90" si="5">C89/C88-1</f>
        <v>-7.5634792004322104E-3</v>
      </c>
      <c r="D90" s="175">
        <f t="shared" si="5"/>
        <v>4.9395332992676622E-3</v>
      </c>
      <c r="E90" s="175">
        <f t="shared" si="5"/>
        <v>4.659677150940178E-3</v>
      </c>
      <c r="F90" s="175">
        <f t="shared" si="5"/>
        <v>-4.8780487804878092E-3</v>
      </c>
      <c r="G90" s="175">
        <f t="shared" si="5"/>
        <v>5.2271161716439529E-3</v>
      </c>
      <c r="H90" s="175">
        <f t="shared" si="5"/>
        <v>-0.13251142637191771</v>
      </c>
      <c r="I90" s="175">
        <f t="shared" si="5"/>
        <v>-0.12825903140315265</v>
      </c>
      <c r="J90" s="175">
        <f t="shared" si="5"/>
        <v>-0.13702231100582718</v>
      </c>
      <c r="K90" s="151" t="str">
        <f t="shared" si="3"/>
        <v>Change QTR</v>
      </c>
      <c r="L90" s="156"/>
      <c r="N90" s="82"/>
      <c r="O90" s="82"/>
      <c r="P90" s="82"/>
      <c r="Q90" s="82"/>
      <c r="R90" s="82"/>
      <c r="S90" s="82"/>
      <c r="T90" s="82"/>
    </row>
    <row r="91" spans="1:20" ht="13.15" x14ac:dyDescent="0.4">
      <c r="A91" s="107" t="s">
        <v>618</v>
      </c>
      <c r="B91" s="175">
        <f>B89/B84-1</f>
        <v>8.7363834422657938E-2</v>
      </c>
      <c r="C91" s="175">
        <f t="shared" ref="C91:I91" si="6">C89/C84-1</f>
        <v>0.14028553693358159</v>
      </c>
      <c r="D91" s="175">
        <f t="shared" si="6"/>
        <v>0.13745903219587441</v>
      </c>
      <c r="E91" s="175">
        <f t="shared" si="6"/>
        <v>0.11941405525681437</v>
      </c>
      <c r="F91" s="175">
        <f t="shared" si="6"/>
        <v>0.12183172524121377</v>
      </c>
      <c r="G91" s="175"/>
      <c r="H91" s="175">
        <f t="shared" si="6"/>
        <v>-1.0775602014330699E-2</v>
      </c>
      <c r="I91" s="175">
        <f t="shared" si="6"/>
        <v>-0.11820607696491348</v>
      </c>
      <c r="J91" s="175"/>
      <c r="K91" s="151" t="str">
        <f t="shared" si="3"/>
        <v>Change fr Q1,'21</v>
      </c>
      <c r="M91" s="151"/>
      <c r="N91" s="82"/>
      <c r="O91" s="82"/>
      <c r="P91" s="82"/>
      <c r="Q91" s="82"/>
      <c r="R91" s="82"/>
      <c r="S91" s="82"/>
    </row>
    <row r="92" spans="1:20" ht="13.15" x14ac:dyDescent="0.4">
      <c r="A92" s="107"/>
      <c r="B92" s="175"/>
      <c r="C92" s="175"/>
      <c r="D92" s="175"/>
      <c r="E92" s="151"/>
      <c r="F92" s="151"/>
      <c r="G92" s="82"/>
      <c r="H92" s="82"/>
      <c r="I92" s="82"/>
      <c r="J92" s="82"/>
      <c r="K92" s="82"/>
      <c r="L92" s="82"/>
      <c r="M92" s="82"/>
    </row>
    <row r="93" spans="1:20" ht="13.15" x14ac:dyDescent="0.4">
      <c r="A93" s="107"/>
      <c r="B93" s="175"/>
      <c r="C93" s="175"/>
      <c r="D93" s="175"/>
      <c r="E93" s="175"/>
      <c r="F93" s="151"/>
      <c r="G93" s="209"/>
      <c r="H93" s="209"/>
      <c r="I93" s="151"/>
      <c r="J93" s="82"/>
      <c r="K93" s="82"/>
      <c r="L93" s="82"/>
      <c r="M93" s="82"/>
    </row>
    <row r="94" spans="1:20" ht="15" x14ac:dyDescent="0.4">
      <c r="A94" s="107"/>
      <c r="B94" s="209"/>
      <c r="C94" s="209"/>
      <c r="D94" s="209"/>
      <c r="E94" s="209"/>
      <c r="F94" s="209"/>
      <c r="G94" s="229"/>
      <c r="H94" s="179"/>
      <c r="I94" s="179"/>
      <c r="K94" s="151"/>
      <c r="L94" s="82"/>
      <c r="M94" s="82"/>
      <c r="N94" s="82"/>
      <c r="O94" s="82"/>
      <c r="P94" s="82"/>
      <c r="Q94" s="82"/>
    </row>
    <row r="95" spans="1:20" s="179" customFormat="1" ht="15" x14ac:dyDescent="0.4">
      <c r="A95" s="228"/>
      <c r="B95" s="229"/>
      <c r="C95" s="229"/>
      <c r="D95" s="229"/>
      <c r="E95" s="229"/>
      <c r="F95" s="229"/>
      <c r="G95" s="229"/>
      <c r="H95" s="153"/>
      <c r="I95" s="158"/>
      <c r="J95" s="83"/>
      <c r="K95" s="228"/>
    </row>
    <row r="96" spans="1:20" ht="13.15" x14ac:dyDescent="0.4">
      <c r="A96" s="151" t="str">
        <f>'BEATS AND SHARES'!A4</f>
        <v>Q1 2022</v>
      </c>
      <c r="B96" s="151"/>
      <c r="C96" s="212"/>
      <c r="D96" s="174"/>
      <c r="E96" s="89"/>
      <c r="F96" s="32"/>
      <c r="G96" s="32"/>
      <c r="H96" s="89"/>
      <c r="I96" s="89"/>
      <c r="J96" s="32"/>
      <c r="K96" s="7"/>
      <c r="N96" s="82"/>
      <c r="O96" s="82"/>
      <c r="P96" s="82"/>
      <c r="Q96" s="82"/>
      <c r="R96" s="82"/>
      <c r="S96" s="82"/>
      <c r="T96" s="82"/>
    </row>
    <row r="97" spans="1:24" ht="13.15" x14ac:dyDescent="0.4">
      <c r="A97" s="151" t="str">
        <f>'BEATS AND SHARES'!A5</f>
        <v xml:space="preserve">Of the 456 issues (505 in the index) with full operating comparative data </v>
      </c>
      <c r="B97" s="89"/>
      <c r="C97" s="89"/>
      <c r="D97" s="89"/>
      <c r="E97" s="89"/>
      <c r="F97" s="89"/>
      <c r="G97" s="89"/>
      <c r="H97" s="89"/>
      <c r="I97" s="89"/>
      <c r="J97" s="32"/>
      <c r="K97" s="7"/>
      <c r="L97" s="88"/>
      <c r="M97" s="85"/>
      <c r="N97" s="83"/>
      <c r="O97" s="7"/>
      <c r="R97" s="82"/>
      <c r="S97" s="82"/>
      <c r="T97" s="82"/>
      <c r="U97" s="82"/>
      <c r="V97" s="82"/>
      <c r="W97" s="82"/>
      <c r="X97" s="82"/>
    </row>
    <row r="98" spans="1:24" ht="13.15" x14ac:dyDescent="0.4">
      <c r="A98" s="151" t="str">
        <f>'BEATS AND SHARES'!A6</f>
        <v>353 beat, 86 missed, and 17 met their estimates; 332 of 453 (73.3%) beat on sales</v>
      </c>
      <c r="B98" s="89"/>
      <c r="C98" s="89"/>
      <c r="D98" s="89"/>
      <c r="E98" s="89"/>
      <c r="F98" s="89"/>
      <c r="G98" s="89"/>
      <c r="H98" s="89"/>
      <c r="I98" s="89"/>
      <c r="J98" s="32"/>
      <c r="K98" s="95"/>
      <c r="L98" s="88"/>
      <c r="M98" s="85"/>
      <c r="N98" s="83"/>
      <c r="O98" s="7"/>
      <c r="R98" s="82"/>
      <c r="S98" s="82"/>
      <c r="T98" s="82"/>
      <c r="U98" s="82"/>
      <c r="V98" s="82"/>
      <c r="W98" s="82"/>
      <c r="X98" s="82"/>
    </row>
    <row r="99" spans="1:24" ht="13.15" x14ac:dyDescent="0.4">
      <c r="A99" s="73"/>
      <c r="B99" s="73"/>
      <c r="C99" s="72" t="str">
        <f>'BEATS AND SHARES'!B748</f>
        <v xml:space="preserve">    ------------- ISSUES --------------------</v>
      </c>
      <c r="D99" s="72"/>
      <c r="E99" s="72"/>
      <c r="F99" s="72"/>
      <c r="G99" s="72"/>
      <c r="H99" s="72" t="str">
        <f>'BEATS AND SHARES'!G748</f>
        <v xml:space="preserve">  ----------- PERCENTAGE --------------------</v>
      </c>
      <c r="I99" s="72"/>
      <c r="J99" s="72"/>
      <c r="K99" s="95"/>
      <c r="N99" s="82"/>
      <c r="O99" s="82"/>
      <c r="P99" s="121"/>
      <c r="Q99" s="82"/>
      <c r="R99" s="82"/>
      <c r="S99" s="82"/>
      <c r="T99" s="82"/>
    </row>
    <row r="100" spans="1:24" ht="13.15" x14ac:dyDescent="0.4">
      <c r="A100" s="73" t="str">
        <f>'BEATS AND SHARES'!A749</f>
        <v>SECTOR</v>
      </c>
      <c r="B100" s="73"/>
      <c r="C100" s="71" t="str">
        <f>'BEATS AND SHARES'!B749</f>
        <v>REPORTED</v>
      </c>
      <c r="D100" s="71" t="str">
        <f>'BEATS AND SHARES'!C749</f>
        <v>BEAT</v>
      </c>
      <c r="E100" s="71" t="str">
        <f>'BEATS AND SHARES'!D749</f>
        <v>MISSED</v>
      </c>
      <c r="F100" s="71" t="str">
        <f>'BEATS AND SHARES'!E749</f>
        <v>MET</v>
      </c>
      <c r="G100" s="74"/>
      <c r="H100" s="74" t="str">
        <f>'BEATS AND SHARES'!G749</f>
        <v>REPORTED</v>
      </c>
      <c r="I100" s="74" t="str">
        <f>'BEATS AND SHARES'!H749</f>
        <v>BEAT</v>
      </c>
      <c r="J100" s="74" t="str">
        <f>'BEATS AND SHARES'!I749</f>
        <v>MISSED</v>
      </c>
      <c r="K100" s="72"/>
      <c r="N100" s="82"/>
      <c r="O100" s="82"/>
      <c r="P100" s="82"/>
      <c r="Q100" s="82"/>
      <c r="R100" s="82"/>
      <c r="S100" s="82"/>
      <c r="T100" s="82"/>
    </row>
    <row r="101" spans="1:24" ht="13.15" x14ac:dyDescent="0.4">
      <c r="A101" s="73" t="str">
        <f>'BEATS AND SHARES'!A9</f>
        <v xml:space="preserve">Energy </v>
      </c>
      <c r="B101" s="73"/>
      <c r="C101" s="108">
        <f>'BEATS AND SHARES'!B9</f>
        <v>21</v>
      </c>
      <c r="D101" s="108">
        <f>'BEATS AND SHARES'!C9</f>
        <v>16</v>
      </c>
      <c r="E101" s="108">
        <f>'BEATS AND SHARES'!D9</f>
        <v>5</v>
      </c>
      <c r="F101" s="108">
        <f>'BEATS AND SHARES'!E9</f>
        <v>0</v>
      </c>
      <c r="G101" s="108"/>
      <c r="H101" s="110">
        <f>'BEATS AND SHARES'!G9</f>
        <v>1</v>
      </c>
      <c r="I101" s="110">
        <f>'BEATS AND SHARES'!H9</f>
        <v>0.76190476190476186</v>
      </c>
      <c r="J101" s="110">
        <f>'BEATS AND SHARES'!I9</f>
        <v>0.23809523809523808</v>
      </c>
      <c r="K101" s="110">
        <f>'BEATS AND SHARES'!J9</f>
        <v>0</v>
      </c>
      <c r="L101" s="75"/>
      <c r="M101" s="75"/>
      <c r="N101" s="75"/>
      <c r="O101" s="75"/>
      <c r="P101" s="82"/>
      <c r="Q101" s="82"/>
      <c r="R101" s="82"/>
      <c r="S101" s="82"/>
      <c r="T101" s="82"/>
    </row>
    <row r="102" spans="1:24" ht="13.15" x14ac:dyDescent="0.4">
      <c r="A102" s="73" t="str">
        <f>'BEATS AND SHARES'!A10</f>
        <v xml:space="preserve">Materials  </v>
      </c>
      <c r="B102" s="73"/>
      <c r="C102" s="108">
        <f>'BEATS AND SHARES'!B10</f>
        <v>28</v>
      </c>
      <c r="D102" s="108">
        <f>'BEATS AND SHARES'!C10</f>
        <v>21</v>
      </c>
      <c r="E102" s="108">
        <f>'BEATS AND SHARES'!D10</f>
        <v>7</v>
      </c>
      <c r="F102" s="108">
        <f>'BEATS AND SHARES'!E10</f>
        <v>0</v>
      </c>
      <c r="G102" s="108"/>
      <c r="H102" s="110">
        <f>'BEATS AND SHARES'!G10</f>
        <v>1</v>
      </c>
      <c r="I102" s="110">
        <f>'BEATS AND SHARES'!H10</f>
        <v>0.75</v>
      </c>
      <c r="J102" s="110">
        <f>'BEATS AND SHARES'!I10</f>
        <v>0.25</v>
      </c>
      <c r="K102" s="110">
        <f>'BEATS AND SHARES'!J10</f>
        <v>0</v>
      </c>
      <c r="L102" s="75"/>
      <c r="M102" s="75"/>
      <c r="N102" s="75"/>
      <c r="O102" s="75"/>
      <c r="P102" s="82"/>
      <c r="Q102" s="82"/>
      <c r="R102" s="82"/>
      <c r="S102" s="82"/>
      <c r="T102" s="82"/>
    </row>
    <row r="103" spans="1:24" ht="13.15" x14ac:dyDescent="0.4">
      <c r="A103" s="73" t="str">
        <f>'BEATS AND SHARES'!A11</f>
        <v xml:space="preserve">Industrials </v>
      </c>
      <c r="B103" s="73"/>
      <c r="C103" s="108">
        <f>'BEATS AND SHARES'!B11</f>
        <v>68</v>
      </c>
      <c r="D103" s="108">
        <f>'BEATS AND SHARES'!C11</f>
        <v>60</v>
      </c>
      <c r="E103" s="108">
        <f>'BEATS AND SHARES'!D11</f>
        <v>6</v>
      </c>
      <c r="F103" s="108">
        <f>'BEATS AND SHARES'!E11</f>
        <v>2</v>
      </c>
      <c r="G103" s="108"/>
      <c r="H103" s="110">
        <f>'BEATS AND SHARES'!G11</f>
        <v>0.94444444444444442</v>
      </c>
      <c r="I103" s="110">
        <f>'BEATS AND SHARES'!H11</f>
        <v>0.88235294117647056</v>
      </c>
      <c r="J103" s="110">
        <f>'BEATS AND SHARES'!I11</f>
        <v>8.8235294117647065E-2</v>
      </c>
      <c r="K103" s="110">
        <f>'BEATS AND SHARES'!J11</f>
        <v>2.9411764705882353E-2</v>
      </c>
      <c r="L103" s="75"/>
      <c r="M103" s="75"/>
      <c r="N103" s="75"/>
      <c r="O103" s="75"/>
      <c r="P103" s="82"/>
      <c r="Q103" s="82"/>
      <c r="R103" s="82"/>
      <c r="S103" s="82"/>
      <c r="T103" s="82"/>
    </row>
    <row r="104" spans="1:24" ht="13.15" x14ac:dyDescent="0.4">
      <c r="A104" s="73" t="str">
        <f>'BEATS AND SHARES'!A12</f>
        <v>Consumer Discretionary</v>
      </c>
      <c r="B104" s="73"/>
      <c r="C104" s="108">
        <f>'BEATS AND SHARES'!B12</f>
        <v>44</v>
      </c>
      <c r="D104" s="108">
        <f>'BEATS AND SHARES'!C12</f>
        <v>30</v>
      </c>
      <c r="E104" s="108">
        <f>'BEATS AND SHARES'!D12</f>
        <v>13</v>
      </c>
      <c r="F104" s="108">
        <f>'BEATS AND SHARES'!E12</f>
        <v>1</v>
      </c>
      <c r="G104" s="108"/>
      <c r="H104" s="110">
        <f>'BEATS AND SHARES'!G12</f>
        <v>0.73333333333333328</v>
      </c>
      <c r="I104" s="110">
        <f>'BEATS AND SHARES'!H12</f>
        <v>0.68181818181818177</v>
      </c>
      <c r="J104" s="110">
        <f>'BEATS AND SHARES'!I12</f>
        <v>0.29545454545454547</v>
      </c>
      <c r="K104" s="110">
        <f>'BEATS AND SHARES'!J12</f>
        <v>2.2727272727272728E-2</v>
      </c>
      <c r="L104" s="75"/>
      <c r="M104" s="75"/>
      <c r="N104" s="75"/>
      <c r="O104" s="75"/>
      <c r="P104" s="82"/>
      <c r="Q104" s="82"/>
      <c r="R104" s="82"/>
      <c r="S104" s="82"/>
      <c r="T104" s="82"/>
    </row>
    <row r="105" spans="1:24" ht="13.15" x14ac:dyDescent="0.4">
      <c r="A105" s="73" t="str">
        <f>'BEATS AND SHARES'!A13</f>
        <v>Consumer Staples</v>
      </c>
      <c r="B105" s="73"/>
      <c r="C105" s="108">
        <f>'BEATS AND SHARES'!B13</f>
        <v>26</v>
      </c>
      <c r="D105" s="108">
        <f>'BEATS AND SHARES'!C13</f>
        <v>23</v>
      </c>
      <c r="E105" s="108">
        <f>'BEATS AND SHARES'!D13</f>
        <v>2</v>
      </c>
      <c r="F105" s="108">
        <f>'BEATS AND SHARES'!E13</f>
        <v>1</v>
      </c>
      <c r="G105" s="108"/>
      <c r="H105" s="110">
        <f>'BEATS AND SHARES'!G13</f>
        <v>0.8125</v>
      </c>
      <c r="I105" s="110">
        <f>'BEATS AND SHARES'!H13</f>
        <v>0.88461538461538458</v>
      </c>
      <c r="J105" s="110">
        <f>'BEATS AND SHARES'!I13</f>
        <v>7.6923076923076927E-2</v>
      </c>
      <c r="K105" s="110">
        <f>'BEATS AND SHARES'!J13</f>
        <v>3.8461538461538464E-2</v>
      </c>
      <c r="L105" s="75"/>
      <c r="M105" s="75"/>
      <c r="N105" s="75"/>
      <c r="O105" s="75"/>
      <c r="P105" s="82"/>
      <c r="Q105" s="82"/>
      <c r="R105" s="82"/>
      <c r="S105" s="82"/>
      <c r="T105" s="82"/>
    </row>
    <row r="106" spans="1:24" ht="13.15" x14ac:dyDescent="0.4">
      <c r="A106" s="73" t="str">
        <f>'BEATS AND SHARES'!A14</f>
        <v>Health Care</v>
      </c>
      <c r="B106" s="73"/>
      <c r="C106" s="108">
        <f>'BEATS AND SHARES'!B14</f>
        <v>62</v>
      </c>
      <c r="D106" s="108">
        <f>'BEATS AND SHARES'!C14</f>
        <v>49</v>
      </c>
      <c r="E106" s="108">
        <f>'BEATS AND SHARES'!D14</f>
        <v>12</v>
      </c>
      <c r="F106" s="108">
        <f>'BEATS AND SHARES'!E14</f>
        <v>1</v>
      </c>
      <c r="G106" s="108"/>
      <c r="H106" s="110">
        <f>'BEATS AND SHARES'!G14</f>
        <v>0.9538461538461539</v>
      </c>
      <c r="I106" s="110">
        <f>'BEATS AND SHARES'!H14</f>
        <v>0.79032258064516125</v>
      </c>
      <c r="J106" s="110">
        <f>'BEATS AND SHARES'!I14</f>
        <v>0.19354838709677419</v>
      </c>
      <c r="K106" s="110">
        <f>'BEATS AND SHARES'!J14</f>
        <v>1.6129032258064516E-2</v>
      </c>
      <c r="L106" s="75"/>
      <c r="M106" s="75"/>
      <c r="N106" s="75"/>
      <c r="O106" s="75"/>
      <c r="P106" s="82"/>
      <c r="Q106" s="82"/>
      <c r="R106" s="82"/>
      <c r="S106" s="82"/>
      <c r="T106" s="82"/>
    </row>
    <row r="107" spans="1:24" ht="13.15" x14ac:dyDescent="0.4">
      <c r="A107" s="73" t="str">
        <f>'BEATS AND SHARES'!A15</f>
        <v xml:space="preserve">Financials </v>
      </c>
      <c r="B107" s="73"/>
      <c r="C107" s="108">
        <f>'BEATS AND SHARES'!B15</f>
        <v>64</v>
      </c>
      <c r="D107" s="108">
        <f>'BEATS AND SHARES'!C15</f>
        <v>49</v>
      </c>
      <c r="E107" s="108">
        <f>'BEATS AND SHARES'!D15</f>
        <v>11</v>
      </c>
      <c r="F107" s="108">
        <f>'BEATS AND SHARES'!E15</f>
        <v>4</v>
      </c>
      <c r="G107" s="108"/>
      <c r="H107" s="110">
        <f>'BEATS AND SHARES'!G15</f>
        <v>0.95522388059701491</v>
      </c>
      <c r="I107" s="110">
        <f>'BEATS AND SHARES'!H15</f>
        <v>0.765625</v>
      </c>
      <c r="J107" s="110">
        <f>'BEATS AND SHARES'!I15</f>
        <v>0.171875</v>
      </c>
      <c r="K107" s="110">
        <f>'BEATS AND SHARES'!J15</f>
        <v>6.25E-2</v>
      </c>
      <c r="L107" s="75"/>
      <c r="M107" s="75"/>
      <c r="N107" s="75"/>
      <c r="O107" s="75"/>
      <c r="P107" s="82"/>
      <c r="Q107" s="82"/>
      <c r="R107" s="82"/>
      <c r="S107" s="82"/>
      <c r="T107" s="82"/>
    </row>
    <row r="108" spans="1:24" ht="13.15" x14ac:dyDescent="0.4">
      <c r="A108" s="73" t="str">
        <f>'BEATS AND SHARES'!A16</f>
        <v xml:space="preserve">Information Technology  </v>
      </c>
      <c r="B108" s="73"/>
      <c r="C108" s="108">
        <f>'BEATS AND SHARES'!B16</f>
        <v>60</v>
      </c>
      <c r="D108" s="108">
        <f>'BEATS AND SHARES'!C16</f>
        <v>52</v>
      </c>
      <c r="E108" s="108">
        <f>'BEATS AND SHARES'!D16</f>
        <v>6</v>
      </c>
      <c r="F108" s="108">
        <f>'BEATS AND SHARES'!E16</f>
        <v>2</v>
      </c>
      <c r="G108" s="108"/>
      <c r="H108" s="110">
        <f>'BEATS AND SHARES'!G16</f>
        <v>0.8</v>
      </c>
      <c r="I108" s="110">
        <f>'BEATS AND SHARES'!H16</f>
        <v>0.8666666666666667</v>
      </c>
      <c r="J108" s="110">
        <f>'BEATS AND SHARES'!I16</f>
        <v>0.1</v>
      </c>
      <c r="K108" s="110">
        <f>'BEATS AND SHARES'!J16</f>
        <v>3.3333333333333333E-2</v>
      </c>
      <c r="L108" s="75"/>
      <c r="M108" s="75"/>
      <c r="N108" s="75"/>
      <c r="O108" s="75"/>
      <c r="P108" s="82"/>
      <c r="Q108" s="82"/>
      <c r="R108" s="82"/>
      <c r="S108" s="82"/>
      <c r="T108" s="82"/>
    </row>
    <row r="109" spans="1:24" ht="13.15" x14ac:dyDescent="0.4">
      <c r="A109" s="73" t="str">
        <f>'BEATS AND SHARES'!A17</f>
        <v xml:space="preserve">Communication Services  </v>
      </c>
      <c r="B109" s="73"/>
      <c r="C109" s="108">
        <f>'BEATS AND SHARES'!B17</f>
        <v>25</v>
      </c>
      <c r="D109" s="108">
        <f>'BEATS AND SHARES'!C17</f>
        <v>16</v>
      </c>
      <c r="E109" s="108">
        <f>'BEATS AND SHARES'!D17</f>
        <v>6</v>
      </c>
      <c r="F109" s="108">
        <f>'BEATS AND SHARES'!E17</f>
        <v>3</v>
      </c>
      <c r="G109" s="108"/>
      <c r="H109" s="110">
        <f>'BEATS AND SHARES'!G17</f>
        <v>0.92592592592592593</v>
      </c>
      <c r="I109" s="110">
        <f>'BEATS AND SHARES'!H17</f>
        <v>0.64</v>
      </c>
      <c r="J109" s="110">
        <f>'BEATS AND SHARES'!I17</f>
        <v>0.24</v>
      </c>
      <c r="K109" s="110">
        <f>'BEATS AND SHARES'!J17</f>
        <v>0.12</v>
      </c>
      <c r="L109" s="75"/>
      <c r="M109" s="75"/>
      <c r="N109" s="75"/>
      <c r="O109" s="75"/>
      <c r="P109" s="129"/>
      <c r="Q109" s="129"/>
      <c r="R109" s="129"/>
      <c r="S109" s="82"/>
      <c r="T109" s="82"/>
    </row>
    <row r="110" spans="1:24" ht="13.15" x14ac:dyDescent="0.4">
      <c r="A110" s="73" t="str">
        <f>'BEATS AND SHARES'!A18</f>
        <v xml:space="preserve">Utilities  </v>
      </c>
      <c r="B110" s="73"/>
      <c r="C110" s="108">
        <f>'BEATS AND SHARES'!B18</f>
        <v>29</v>
      </c>
      <c r="D110" s="108">
        <f>'BEATS AND SHARES'!C18</f>
        <v>19</v>
      </c>
      <c r="E110" s="108">
        <f>'BEATS AND SHARES'!D18</f>
        <v>9</v>
      </c>
      <c r="F110" s="108">
        <f>'BEATS AND SHARES'!E18</f>
        <v>1</v>
      </c>
      <c r="G110" s="108"/>
      <c r="H110" s="110">
        <f>'BEATS AND SHARES'!G18</f>
        <v>1</v>
      </c>
      <c r="I110" s="110">
        <f>'BEATS AND SHARES'!H18</f>
        <v>0.65517241379310343</v>
      </c>
      <c r="J110" s="110">
        <f>'BEATS AND SHARES'!I18</f>
        <v>0.31034482758620691</v>
      </c>
      <c r="K110" s="110">
        <f>'BEATS AND SHARES'!J18</f>
        <v>3.4482758620689655E-2</v>
      </c>
      <c r="L110" s="75"/>
      <c r="M110" s="75"/>
      <c r="N110" s="75"/>
      <c r="O110" s="75"/>
      <c r="P110" s="129"/>
      <c r="Q110" s="129"/>
      <c r="R110" s="129"/>
      <c r="S110" s="82"/>
      <c r="T110" s="82"/>
    </row>
    <row r="111" spans="1:24" ht="13.15" x14ac:dyDescent="0.4">
      <c r="A111" s="73" t="str">
        <f>'BEATS AND SHARES'!A19</f>
        <v>Real Estate</v>
      </c>
      <c r="B111" s="73"/>
      <c r="C111" s="108">
        <f>'BEATS AND SHARES'!B19</f>
        <v>29</v>
      </c>
      <c r="D111" s="108">
        <f>'BEATS AND SHARES'!C19</f>
        <v>18</v>
      </c>
      <c r="E111" s="108">
        <f>'BEATS AND SHARES'!D19</f>
        <v>9</v>
      </c>
      <c r="F111" s="108">
        <f>'BEATS AND SHARES'!E19</f>
        <v>2</v>
      </c>
      <c r="G111" s="108"/>
      <c r="H111" s="110">
        <f>'BEATS AND SHARES'!G19</f>
        <v>1</v>
      </c>
      <c r="I111" s="110">
        <f>'BEATS AND SHARES'!H19</f>
        <v>0.62068965517241381</v>
      </c>
      <c r="J111" s="110">
        <f>'BEATS AND SHARES'!I19</f>
        <v>0.31034482758620691</v>
      </c>
      <c r="K111" s="110">
        <f>'BEATS AND SHARES'!J19</f>
        <v>6.8965517241379309E-2</v>
      </c>
      <c r="L111" s="75"/>
      <c r="M111" s="75"/>
      <c r="N111" s="75"/>
      <c r="O111" s="75"/>
      <c r="P111" s="129"/>
      <c r="Q111" s="129"/>
      <c r="R111" s="129"/>
      <c r="S111" s="82"/>
      <c r="T111" s="82"/>
    </row>
    <row r="112" spans="1:24" ht="13.15" x14ac:dyDescent="0.4">
      <c r="A112" s="73" t="str">
        <f>'BEATS AND SHARES'!A20</f>
        <v>S&amp;P 500</v>
      </c>
      <c r="B112" s="73"/>
      <c r="C112" s="108">
        <f>'BEATS AND SHARES'!B20</f>
        <v>456</v>
      </c>
      <c r="D112" s="108">
        <f>'BEATS AND SHARES'!C20</f>
        <v>353</v>
      </c>
      <c r="E112" s="108">
        <f>'BEATS AND SHARES'!D20</f>
        <v>86</v>
      </c>
      <c r="F112" s="108">
        <f>'BEATS AND SHARES'!E20</f>
        <v>17</v>
      </c>
      <c r="G112" s="109"/>
      <c r="H112" s="110">
        <f>'BEATS AND SHARES'!G20</f>
        <v>0.902970297029703</v>
      </c>
      <c r="I112" s="110">
        <f>'BEATS AND SHARES'!H20</f>
        <v>0.77412280701754388</v>
      </c>
      <c r="J112" s="110">
        <f>'BEATS AND SHARES'!I20</f>
        <v>0.18859649122807018</v>
      </c>
      <c r="K112" s="110">
        <f>'BEATS AND SHARES'!J20</f>
        <v>3.7280701754385963E-2</v>
      </c>
      <c r="L112" s="75"/>
      <c r="M112" s="75"/>
      <c r="N112" s="75"/>
      <c r="O112" s="75"/>
      <c r="P112" s="129"/>
      <c r="Q112" s="129"/>
      <c r="R112" s="129"/>
      <c r="S112" s="82"/>
      <c r="T112" s="82"/>
    </row>
    <row r="113" spans="1:20" ht="13.15" x14ac:dyDescent="0.4">
      <c r="A113" s="73"/>
      <c r="B113" s="73"/>
      <c r="C113" s="108"/>
      <c r="D113" s="108"/>
      <c r="E113" s="108"/>
      <c r="F113" s="108"/>
      <c r="G113" s="109"/>
      <c r="H113" s="110"/>
      <c r="I113" s="110"/>
      <c r="J113" s="110"/>
      <c r="K113" s="110"/>
      <c r="M113" s="80"/>
      <c r="N113" s="129"/>
      <c r="O113" s="129"/>
      <c r="P113" s="129"/>
      <c r="Q113" s="129"/>
      <c r="R113" s="129"/>
      <c r="S113" s="82"/>
      <c r="T113" s="82"/>
    </row>
    <row r="114" spans="1:20" ht="13.15" x14ac:dyDescent="0.4">
      <c r="A114" s="5" t="s">
        <v>469</v>
      </c>
      <c r="B114" s="22"/>
      <c r="C114" s="6"/>
      <c r="D114" s="35">
        <v>44693</v>
      </c>
      <c r="E114" s="244"/>
      <c r="F114" s="156"/>
      <c r="G114" s="156"/>
      <c r="H114" s="156"/>
      <c r="I114" s="156"/>
      <c r="J114" s="156"/>
    </row>
    <row r="115" spans="1:20" ht="13.15" x14ac:dyDescent="0.4">
      <c r="A115" s="5" t="s">
        <v>6</v>
      </c>
      <c r="B115" s="1"/>
      <c r="C115" s="1"/>
      <c r="D115" s="292">
        <v>3930.0819031463702</v>
      </c>
      <c r="E115" s="156"/>
      <c r="F115" s="92"/>
      <c r="G115" s="92"/>
      <c r="H115" s="80"/>
      <c r="I115" s="80"/>
      <c r="J115" s="80"/>
      <c r="K115" s="80"/>
      <c r="L115" s="80"/>
      <c r="M115" s="80"/>
    </row>
    <row r="116" spans="1:20" ht="15" customHeight="1" x14ac:dyDescent="0.5">
      <c r="A116" s="294" t="s">
        <v>661</v>
      </c>
      <c r="B116" s="1"/>
      <c r="C116" s="1"/>
      <c r="D116" s="15">
        <f>(61.937)/D115</f>
        <v>1.5759722450164226E-2</v>
      </c>
      <c r="E116" s="80"/>
      <c r="F116" s="265"/>
      <c r="G116" s="80"/>
      <c r="H116" s="156"/>
      <c r="I116" s="156"/>
      <c r="J116" s="156"/>
      <c r="K116" s="80"/>
      <c r="L116" s="156"/>
    </row>
    <row r="117" spans="1:20" ht="13.15" x14ac:dyDescent="0.4">
      <c r="A117" s="6" t="s">
        <v>188</v>
      </c>
      <c r="B117" s="1"/>
      <c r="C117" s="1"/>
      <c r="D117" s="15">
        <f>64.237/D115</f>
        <v>1.6344951983970797E-2</v>
      </c>
      <c r="E117" s="156"/>
      <c r="F117" s="156"/>
      <c r="G117" s="156"/>
      <c r="H117" s="156"/>
      <c r="I117" s="156"/>
      <c r="J117" s="156"/>
      <c r="K117" s="156"/>
      <c r="L117" s="80"/>
    </row>
    <row r="118" spans="1:20" ht="17.649999999999999" x14ac:dyDescent="0.5">
      <c r="A118" s="1"/>
      <c r="B118" s="1"/>
      <c r="C118" s="1"/>
      <c r="D118" s="14"/>
      <c r="E118" s="204"/>
      <c r="F118" s="265"/>
      <c r="G118" s="156"/>
      <c r="H118" s="38"/>
      <c r="I118" s="156"/>
      <c r="J118" s="205"/>
      <c r="K118" s="52"/>
      <c r="L118" s="52"/>
      <c r="S118" s="82"/>
      <c r="T118" s="82"/>
    </row>
    <row r="119" spans="1:20" ht="13.15" x14ac:dyDescent="0.4">
      <c r="A119" s="20" t="s">
        <v>17</v>
      </c>
      <c r="B119" s="18"/>
      <c r="C119" s="19" t="s">
        <v>15</v>
      </c>
      <c r="D119" s="19" t="s">
        <v>10</v>
      </c>
      <c r="E119" s="19"/>
      <c r="F119" s="19" t="s">
        <v>15</v>
      </c>
      <c r="G119" s="19" t="s">
        <v>10</v>
      </c>
      <c r="H119" s="38"/>
      <c r="I119" s="72" t="s">
        <v>228</v>
      </c>
      <c r="J119" s="72"/>
      <c r="K119" s="72"/>
    </row>
    <row r="120" spans="1:20" ht="13.15" x14ac:dyDescent="0.4">
      <c r="A120" s="20" t="s">
        <v>11</v>
      </c>
      <c r="B120" s="18"/>
      <c r="C120" s="19" t="s">
        <v>16</v>
      </c>
      <c r="D120" s="19" t="s">
        <v>16</v>
      </c>
      <c r="E120" s="19"/>
      <c r="F120" s="19" t="s">
        <v>16</v>
      </c>
      <c r="G120" s="19" t="s">
        <v>16</v>
      </c>
      <c r="H120" s="38"/>
      <c r="I120" s="54" t="s">
        <v>15</v>
      </c>
      <c r="J120" s="54" t="s">
        <v>10</v>
      </c>
      <c r="K120" s="54"/>
    </row>
    <row r="121" spans="1:20" ht="13.15" x14ac:dyDescent="0.4">
      <c r="A121" s="20"/>
      <c r="B121" s="21" t="s">
        <v>1</v>
      </c>
      <c r="C121" s="19" t="s">
        <v>14</v>
      </c>
      <c r="D121" s="19" t="s">
        <v>14</v>
      </c>
      <c r="E121" s="19"/>
      <c r="F121" s="19" t="s">
        <v>9</v>
      </c>
      <c r="G121" s="19" t="s">
        <v>9</v>
      </c>
      <c r="H121" s="38"/>
      <c r="I121" s="54" t="s">
        <v>16</v>
      </c>
      <c r="J121" s="54" t="s">
        <v>16</v>
      </c>
      <c r="K121" s="54"/>
    </row>
    <row r="122" spans="1:20" ht="13.15" x14ac:dyDescent="0.4">
      <c r="A122" s="20"/>
      <c r="B122" s="19" t="s">
        <v>3</v>
      </c>
      <c r="C122" s="19" t="s">
        <v>12</v>
      </c>
      <c r="D122" s="19" t="s">
        <v>12</v>
      </c>
      <c r="E122" s="19"/>
      <c r="F122" s="19" t="s">
        <v>12</v>
      </c>
      <c r="G122" s="19" t="s">
        <v>12</v>
      </c>
      <c r="H122" s="38"/>
      <c r="I122" s="54" t="s">
        <v>12</v>
      </c>
      <c r="J122" s="54" t="s">
        <v>12</v>
      </c>
      <c r="K122" s="54"/>
    </row>
    <row r="123" spans="1:20" ht="13.15" x14ac:dyDescent="0.4">
      <c r="A123" s="20"/>
      <c r="B123" s="22"/>
      <c r="C123" s="19" t="s">
        <v>13</v>
      </c>
      <c r="D123" s="54" t="s">
        <v>227</v>
      </c>
      <c r="E123" s="19"/>
      <c r="F123" s="19" t="s">
        <v>13</v>
      </c>
      <c r="G123" s="77" t="s">
        <v>227</v>
      </c>
      <c r="H123" s="50"/>
      <c r="I123" s="54" t="s">
        <v>13</v>
      </c>
      <c r="J123" s="77" t="s">
        <v>13</v>
      </c>
      <c r="K123" s="77"/>
      <c r="L123" s="92"/>
    </row>
    <row r="124" spans="1:20" ht="13.15" x14ac:dyDescent="0.4">
      <c r="A124" s="7" t="s">
        <v>23</v>
      </c>
      <c r="B124" s="80"/>
      <c r="C124" s="58"/>
      <c r="D124" s="80"/>
      <c r="E124" s="221"/>
      <c r="F124" s="80"/>
      <c r="G124" s="80"/>
      <c r="H124" s="50"/>
      <c r="I124" s="52"/>
      <c r="J124" s="52"/>
      <c r="K124" s="77"/>
    </row>
    <row r="125" spans="1:20" ht="13.15" x14ac:dyDescent="0.4">
      <c r="A125" s="31" t="s">
        <v>580</v>
      </c>
      <c r="B125" s="80"/>
      <c r="C125" s="58">
        <f>'SECTOR EPS'!BN8</f>
        <v>65.349999999999994</v>
      </c>
      <c r="D125" s="52">
        <v>64.846293961268429</v>
      </c>
      <c r="E125" s="221"/>
      <c r="F125" s="156">
        <f>D115/I125</f>
        <v>15.842632737317572</v>
      </c>
      <c r="G125" s="80">
        <f>D115/J125</f>
        <v>16.123264433159449</v>
      </c>
      <c r="H125" s="46"/>
      <c r="I125" s="52">
        <f t="shared" ref="I125:J129" si="7">SUM(C125:C128)</f>
        <v>248.07</v>
      </c>
      <c r="J125" s="52">
        <f t="shared" si="7"/>
        <v>243.75224505179486</v>
      </c>
      <c r="K125" s="77"/>
      <c r="L125" s="52"/>
      <c r="M125" s="52"/>
    </row>
    <row r="126" spans="1:20" ht="13.15" x14ac:dyDescent="0.4">
      <c r="A126" s="31" t="s">
        <v>581</v>
      </c>
      <c r="B126" s="80"/>
      <c r="C126" s="58">
        <f>'SECTOR EPS'!BM8</f>
        <v>63.49</v>
      </c>
      <c r="D126" s="52">
        <v>62.193824526056225</v>
      </c>
      <c r="E126" s="221"/>
      <c r="F126" s="80">
        <f>D115/I126</f>
        <v>16.167188708488091</v>
      </c>
      <c r="G126" s="80">
        <f>D115/J126</f>
        <v>16.500724772939655</v>
      </c>
      <c r="H126" s="46"/>
      <c r="I126" s="52">
        <f t="shared" si="7"/>
        <v>243.09</v>
      </c>
      <c r="J126" s="52">
        <f t="shared" si="7"/>
        <v>238.17631996332085</v>
      </c>
      <c r="K126" s="77"/>
      <c r="L126" s="52"/>
      <c r="M126" s="52"/>
    </row>
    <row r="127" spans="1:20" ht="13.15" x14ac:dyDescent="0.4">
      <c r="A127" s="31" t="s">
        <v>582</v>
      </c>
      <c r="B127" s="80"/>
      <c r="C127" s="58">
        <f>'SECTOR EPS'!BL8</f>
        <v>60.8</v>
      </c>
      <c r="D127" s="52">
        <v>59.398250473252418</v>
      </c>
      <c r="E127" s="221"/>
      <c r="F127" s="80">
        <f>D115/I127</f>
        <v>16.471424573119741</v>
      </c>
      <c r="G127" s="80">
        <f>D115/J127</f>
        <v>16.837321077441242</v>
      </c>
      <c r="H127" s="46"/>
      <c r="I127" s="52">
        <f t="shared" si="7"/>
        <v>238.6</v>
      </c>
      <c r="J127" s="52">
        <f t="shared" si="7"/>
        <v>233.41491708036148</v>
      </c>
      <c r="K127" s="77"/>
      <c r="L127" s="52"/>
      <c r="M127" s="52"/>
    </row>
    <row r="128" spans="1:20" ht="13.15" x14ac:dyDescent="0.4">
      <c r="A128" s="31" t="s">
        <v>583</v>
      </c>
      <c r="B128" s="80"/>
      <c r="C128" s="58">
        <f>'SECTOR EPS'!BK8</f>
        <v>58.43</v>
      </c>
      <c r="D128" s="52">
        <v>57.313876091217786</v>
      </c>
      <c r="E128" s="221"/>
      <c r="F128" s="80">
        <f>D115/I128</f>
        <v>16.873822090706152</v>
      </c>
      <c r="G128" s="80">
        <f>D115/J128</f>
        <v>17.272748633544641</v>
      </c>
      <c r="H128" s="46"/>
      <c r="I128" s="52">
        <f t="shared" si="7"/>
        <v>232.91000000000003</v>
      </c>
      <c r="J128" s="52">
        <f t="shared" si="7"/>
        <v>227.53077616806928</v>
      </c>
      <c r="K128" s="77"/>
      <c r="L128" s="52"/>
      <c r="M128" s="52"/>
    </row>
    <row r="129" spans="1:13" ht="13.15" x14ac:dyDescent="0.4">
      <c r="A129" s="31" t="s">
        <v>529</v>
      </c>
      <c r="B129" s="80"/>
      <c r="C129" s="58">
        <f>'SECTOR EPS'!BJ8</f>
        <v>60.37</v>
      </c>
      <c r="D129" s="52">
        <v>59.270368872794407</v>
      </c>
      <c r="E129" s="221"/>
      <c r="F129" s="156">
        <f>D115/I129</f>
        <v>17.514514475450643</v>
      </c>
      <c r="G129" s="80">
        <f>D115/J129</f>
        <v>18.132961677281646</v>
      </c>
      <c r="H129" s="46"/>
      <c r="I129" s="52">
        <f t="shared" si="7"/>
        <v>224.39000000000001</v>
      </c>
      <c r="J129" s="52">
        <f t="shared" si="7"/>
        <v>216.73690007685153</v>
      </c>
      <c r="K129" s="77"/>
      <c r="L129" s="52"/>
      <c r="M129" s="52"/>
    </row>
    <row r="130" spans="1:13" ht="13.15" x14ac:dyDescent="0.4">
      <c r="A130" s="31" t="s">
        <v>530</v>
      </c>
      <c r="B130" s="80"/>
      <c r="C130" s="58">
        <f>'SECTOR EPS'!BI8</f>
        <v>59</v>
      </c>
      <c r="D130" s="52">
        <v>57.432421643096873</v>
      </c>
      <c r="E130" s="221"/>
      <c r="F130" s="80">
        <f>D115/I130</f>
        <v>17.803315529541884</v>
      </c>
      <c r="G130" s="80">
        <f>D115/J130</f>
        <v>18.590163136222671</v>
      </c>
      <c r="H130" s="46"/>
      <c r="I130" s="52">
        <f t="shared" ref="I130:J132" si="8">SUM(C130:C135)</f>
        <v>220.74999999999997</v>
      </c>
      <c r="J130" s="52">
        <f t="shared" si="8"/>
        <v>211.4065312040571</v>
      </c>
      <c r="K130" s="77"/>
      <c r="L130" s="52"/>
      <c r="M130" s="52"/>
    </row>
    <row r="131" spans="1:13" ht="13.15" x14ac:dyDescent="0.4">
      <c r="A131" s="31" t="s">
        <v>518</v>
      </c>
      <c r="B131" s="80"/>
      <c r="C131" s="58">
        <f>'SECTOR EPS'!BH8</f>
        <v>55.11</v>
      </c>
      <c r="D131" s="52">
        <v>53.514109560960222</v>
      </c>
      <c r="E131" s="221"/>
      <c r="F131" s="80">
        <f>D115/I131</f>
        <v>18.384627885794874</v>
      </c>
      <c r="G131" s="80">
        <f>D115/J131</f>
        <v>19.306359611341264</v>
      </c>
      <c r="H131" s="46"/>
      <c r="I131" s="52">
        <f t="shared" si="8"/>
        <v>213.77</v>
      </c>
      <c r="J131" s="52">
        <f t="shared" si="8"/>
        <v>203.56410956096022</v>
      </c>
      <c r="K131" s="77"/>
      <c r="L131" s="52"/>
      <c r="M131" s="52"/>
    </row>
    <row r="132" spans="1:13" ht="13.15" x14ac:dyDescent="0.4">
      <c r="A132" s="31" t="s">
        <v>761</v>
      </c>
      <c r="B132" s="80">
        <v>4530.4134516834702</v>
      </c>
      <c r="C132" s="58">
        <f>'SECTOR EPS'!BG8</f>
        <v>49.91</v>
      </c>
      <c r="D132" s="52">
        <f>'SECTOR EPS'!BG63</f>
        <v>46.52</v>
      </c>
      <c r="E132" s="221"/>
      <c r="F132" s="80">
        <f>D115/I132</f>
        <v>18.651615505416785</v>
      </c>
      <c r="G132" s="80">
        <f>D115/J132</f>
        <v>19.804887639318537</v>
      </c>
      <c r="H132" s="46"/>
      <c r="I132" s="52">
        <f t="shared" si="8"/>
        <v>210.70999999999998</v>
      </c>
      <c r="J132" s="52">
        <f t="shared" si="8"/>
        <v>198.44</v>
      </c>
      <c r="K132" s="77"/>
      <c r="L132" s="52"/>
      <c r="M132" s="52"/>
    </row>
    <row r="133" spans="1:13" ht="13.15" x14ac:dyDescent="0.4">
      <c r="A133" s="31"/>
      <c r="B133" s="80"/>
      <c r="C133" s="58"/>
      <c r="D133" s="58"/>
      <c r="E133" s="221"/>
      <c r="F133" s="80">
        <f>B132/I132</f>
        <v>21.500704530793367</v>
      </c>
      <c r="G133" s="80">
        <f>B132/J132</f>
        <v>22.83014236889473</v>
      </c>
      <c r="H133" s="82" t="s">
        <v>642</v>
      </c>
      <c r="I133" s="52"/>
      <c r="J133" s="52"/>
      <c r="K133" s="54"/>
      <c r="L133" s="80"/>
    </row>
    <row r="134" spans="1:13" ht="12.75" customHeight="1" x14ac:dyDescent="0.4">
      <c r="A134" s="7" t="s">
        <v>427</v>
      </c>
      <c r="B134" s="80"/>
      <c r="C134" s="58"/>
      <c r="D134" s="58"/>
      <c r="E134" s="221"/>
      <c r="F134" s="80"/>
      <c r="G134" s="80"/>
      <c r="H134" s="50"/>
      <c r="I134" s="52"/>
      <c r="J134" s="52"/>
      <c r="K134" s="54"/>
      <c r="L134" s="80"/>
    </row>
    <row r="135" spans="1:13" ht="13.15" x14ac:dyDescent="0.4">
      <c r="A135" s="43">
        <v>44561</v>
      </c>
      <c r="B135" s="80">
        <v>4766.1829724282998</v>
      </c>
      <c r="C135" s="58">
        <v>56.73</v>
      </c>
      <c r="D135" s="52">
        <v>53.94</v>
      </c>
      <c r="E135" s="221"/>
      <c r="F135" s="80">
        <f t="shared" ref="F135:F166" si="9">B135/I135</f>
        <v>22.891229875742276</v>
      </c>
      <c r="G135" s="4">
        <f t="shared" ref="G135:G166" si="10">B135/J135</f>
        <v>24.087446163785817</v>
      </c>
      <c r="H135" s="46"/>
      <c r="I135" s="52">
        <f t="shared" ref="I135:I154" si="11">SUM(C135:C138)</f>
        <v>208.21</v>
      </c>
      <c r="J135" s="52">
        <f t="shared" ref="J135:J154" si="12">SUM(D135:D138)</f>
        <v>197.87</v>
      </c>
      <c r="K135" s="77"/>
      <c r="L135" s="52"/>
      <c r="M135" s="52"/>
    </row>
    <row r="136" spans="1:13" ht="13.15" x14ac:dyDescent="0.4">
      <c r="A136" s="43">
        <v>44469</v>
      </c>
      <c r="B136" s="80">
        <v>4307.5387507897103</v>
      </c>
      <c r="C136" s="58">
        <v>52.02</v>
      </c>
      <c r="D136" s="52">
        <v>49.59</v>
      </c>
      <c r="E136" s="221"/>
      <c r="F136" s="80">
        <f t="shared" si="9"/>
        <v>22.711898928554838</v>
      </c>
      <c r="G136" s="4">
        <f t="shared" si="10"/>
        <v>24.562574846266237</v>
      </c>
      <c r="H136" s="50"/>
      <c r="I136" s="52">
        <f t="shared" si="11"/>
        <v>189.66</v>
      </c>
      <c r="J136" s="52">
        <f t="shared" si="12"/>
        <v>175.37</v>
      </c>
      <c r="K136" s="77"/>
    </row>
    <row r="137" spans="1:13" ht="13.15" x14ac:dyDescent="0.4">
      <c r="A137" s="43">
        <v>44377</v>
      </c>
      <c r="B137" s="80">
        <v>4297.4966318818697</v>
      </c>
      <c r="C137" s="58">
        <v>52.05</v>
      </c>
      <c r="D137" s="52">
        <v>48.39</v>
      </c>
      <c r="E137" s="221"/>
      <c r="F137" s="80">
        <f t="shared" si="9"/>
        <v>24.481580448227582</v>
      </c>
      <c r="G137" s="4">
        <f t="shared" si="10"/>
        <v>27.069139782576656</v>
      </c>
      <c r="H137" s="50"/>
      <c r="I137" s="52">
        <f t="shared" si="11"/>
        <v>175.54</v>
      </c>
      <c r="J137" s="52">
        <f t="shared" si="12"/>
        <v>158.76</v>
      </c>
      <c r="K137" s="77"/>
    </row>
    <row r="138" spans="1:13" ht="13.15" x14ac:dyDescent="0.4">
      <c r="A138" s="43">
        <v>44286</v>
      </c>
      <c r="B138" s="80">
        <v>3972.8922084302499</v>
      </c>
      <c r="C138" s="58">
        <v>47.41</v>
      </c>
      <c r="D138" s="52">
        <v>45.95</v>
      </c>
      <c r="E138" s="221"/>
      <c r="F138" s="80">
        <f t="shared" si="9"/>
        <v>26.436599736693172</v>
      </c>
      <c r="G138" s="4">
        <f t="shared" si="10"/>
        <v>30.98979881770866</v>
      </c>
      <c r="H138" s="50"/>
      <c r="I138" s="52">
        <f t="shared" si="11"/>
        <v>150.28</v>
      </c>
      <c r="J138" s="52">
        <f t="shared" si="12"/>
        <v>128.19999999999999</v>
      </c>
      <c r="K138" s="77"/>
    </row>
    <row r="139" spans="1:13" ht="13.15" x14ac:dyDescent="0.4">
      <c r="A139" s="43">
        <v>44196</v>
      </c>
      <c r="B139" s="80">
        <v>3756.0714689572001</v>
      </c>
      <c r="C139" s="58">
        <v>38.18</v>
      </c>
      <c r="D139" s="52">
        <v>31.44</v>
      </c>
      <c r="E139" s="221"/>
      <c r="F139" s="80">
        <f t="shared" si="9"/>
        <v>30.694381539243278</v>
      </c>
      <c r="G139" s="4">
        <f t="shared" si="10"/>
        <v>39.903022086021465</v>
      </c>
      <c r="H139" s="50"/>
      <c r="I139" s="52">
        <f t="shared" si="11"/>
        <v>122.37</v>
      </c>
      <c r="J139" s="52">
        <f t="shared" si="12"/>
        <v>94.13</v>
      </c>
      <c r="K139" s="77"/>
    </row>
    <row r="140" spans="1:13" ht="13.15" x14ac:dyDescent="0.4">
      <c r="A140" s="43">
        <v>44104</v>
      </c>
      <c r="B140" s="80">
        <v>3362.9989876496502</v>
      </c>
      <c r="C140" s="58">
        <v>37.9</v>
      </c>
      <c r="D140" s="52">
        <v>32.979999999999997</v>
      </c>
      <c r="E140" s="221"/>
      <c r="F140" s="80">
        <f t="shared" si="9"/>
        <v>27.259455196965632</v>
      </c>
      <c r="G140" s="4">
        <f t="shared" si="10"/>
        <v>34.239452124309203</v>
      </c>
      <c r="H140" s="50"/>
      <c r="I140" s="52">
        <f t="shared" si="11"/>
        <v>123.37</v>
      </c>
      <c r="J140" s="52">
        <f t="shared" si="12"/>
        <v>98.22</v>
      </c>
      <c r="K140" s="77"/>
    </row>
    <row r="141" spans="1:13" ht="13.15" x14ac:dyDescent="0.4">
      <c r="A141" s="43">
        <v>44012</v>
      </c>
      <c r="B141" s="80">
        <v>3100.2851286595301</v>
      </c>
      <c r="C141" s="58">
        <v>26.79</v>
      </c>
      <c r="D141" s="52">
        <v>17.829999999999998</v>
      </c>
      <c r="E141" s="221"/>
      <c r="F141" s="80">
        <f t="shared" si="9"/>
        <v>24.746848089555634</v>
      </c>
      <c r="G141" s="4">
        <f t="shared" si="10"/>
        <v>31.24342566420971</v>
      </c>
      <c r="H141" s="50"/>
      <c r="I141" s="52">
        <f t="shared" si="11"/>
        <v>125.28</v>
      </c>
      <c r="J141" s="52">
        <f t="shared" si="12"/>
        <v>99.230000000000018</v>
      </c>
      <c r="K141" s="77"/>
    </row>
    <row r="142" spans="1:13" ht="12.75" customHeight="1" x14ac:dyDescent="0.4">
      <c r="A142" s="43">
        <v>43921</v>
      </c>
      <c r="B142" s="80">
        <v>2584.5907599343</v>
      </c>
      <c r="C142" s="58">
        <v>19.5</v>
      </c>
      <c r="D142" s="58">
        <v>11.88</v>
      </c>
      <c r="E142" s="221"/>
      <c r="F142" s="80">
        <f t="shared" si="9"/>
        <v>18.643805525025609</v>
      </c>
      <c r="G142" s="4">
        <f t="shared" si="10"/>
        <v>22.217749161302326</v>
      </c>
      <c r="H142" s="50"/>
      <c r="I142" s="52">
        <f t="shared" si="11"/>
        <v>138.63</v>
      </c>
      <c r="J142" s="52">
        <f t="shared" si="12"/>
        <v>116.33000000000001</v>
      </c>
      <c r="K142" s="54"/>
      <c r="L142" s="80"/>
    </row>
    <row r="143" spans="1:13" ht="12.75" customHeight="1" x14ac:dyDescent="0.4">
      <c r="A143" s="43">
        <v>43830</v>
      </c>
      <c r="B143" s="80">
        <v>3230.7819500904302</v>
      </c>
      <c r="C143" s="58">
        <v>39.18</v>
      </c>
      <c r="D143" s="58">
        <v>35.53</v>
      </c>
      <c r="E143" s="221"/>
      <c r="F143" s="80">
        <f t="shared" si="9"/>
        <v>20.56251241147168</v>
      </c>
      <c r="G143" s="4">
        <f t="shared" si="10"/>
        <v>23.164708898619271</v>
      </c>
      <c r="H143" s="50"/>
      <c r="I143" s="52">
        <f t="shared" si="11"/>
        <v>157.12</v>
      </c>
      <c r="J143" s="52">
        <f t="shared" si="12"/>
        <v>139.47000000000003</v>
      </c>
      <c r="K143" s="54"/>
      <c r="L143" s="80"/>
    </row>
    <row r="144" spans="1:13" ht="13.15" x14ac:dyDescent="0.4">
      <c r="A144" s="43">
        <v>43738</v>
      </c>
      <c r="B144" s="80">
        <v>2976.73727174433</v>
      </c>
      <c r="C144" s="58">
        <v>39.81</v>
      </c>
      <c r="D144" s="52">
        <v>33.99</v>
      </c>
      <c r="E144" s="221"/>
      <c r="F144" s="80">
        <f t="shared" si="9"/>
        <v>19.459614772467347</v>
      </c>
      <c r="G144" s="4">
        <f t="shared" si="10"/>
        <v>22.398324091379457</v>
      </c>
      <c r="H144" s="50"/>
      <c r="I144" s="52">
        <f t="shared" si="11"/>
        <v>152.97</v>
      </c>
      <c r="J144" s="52">
        <f t="shared" si="12"/>
        <v>132.9</v>
      </c>
      <c r="K144" s="54"/>
      <c r="L144" s="80"/>
    </row>
    <row r="145" spans="1:16" ht="12.75" customHeight="1" x14ac:dyDescent="0.4">
      <c r="A145" s="43">
        <v>43646</v>
      </c>
      <c r="B145" s="80">
        <v>2941.76</v>
      </c>
      <c r="C145" s="58">
        <v>40.14</v>
      </c>
      <c r="D145" s="58">
        <v>34.93</v>
      </c>
      <c r="E145" s="221"/>
      <c r="F145" s="80">
        <f t="shared" si="9"/>
        <v>19.035589491393818</v>
      </c>
      <c r="G145" s="4">
        <f t="shared" si="10"/>
        <v>21.747320174465887</v>
      </c>
      <c r="H145" s="50"/>
      <c r="I145" s="52">
        <f t="shared" si="11"/>
        <v>154.54</v>
      </c>
      <c r="J145" s="52">
        <f t="shared" si="12"/>
        <v>135.26999999999998</v>
      </c>
      <c r="K145" s="54"/>
      <c r="L145" s="80"/>
    </row>
    <row r="146" spans="1:16" ht="13.15" x14ac:dyDescent="0.4">
      <c r="A146" s="43">
        <v>43555</v>
      </c>
      <c r="B146" s="80">
        <v>2834.4</v>
      </c>
      <c r="C146" s="58">
        <v>37.99</v>
      </c>
      <c r="D146" s="52">
        <v>35.020000000000003</v>
      </c>
      <c r="E146" s="221"/>
      <c r="F146" s="80">
        <f t="shared" si="9"/>
        <v>18.519438092126755</v>
      </c>
      <c r="G146" s="4">
        <f t="shared" si="10"/>
        <v>21.090854974328451</v>
      </c>
      <c r="H146" s="50"/>
      <c r="I146" s="52">
        <f t="shared" si="11"/>
        <v>153.05000000000001</v>
      </c>
      <c r="J146" s="52">
        <f t="shared" si="12"/>
        <v>134.38999999999999</v>
      </c>
      <c r="K146" s="54"/>
      <c r="L146" s="54"/>
    </row>
    <row r="147" spans="1:16" ht="13.15" x14ac:dyDescent="0.4">
      <c r="A147" s="43">
        <v>43465</v>
      </c>
      <c r="B147" s="80">
        <v>2506.85</v>
      </c>
      <c r="C147" s="58">
        <v>35.03</v>
      </c>
      <c r="D147" s="58">
        <v>28.96</v>
      </c>
      <c r="E147" s="221"/>
      <c r="F147" s="80">
        <f t="shared" si="9"/>
        <v>16.535949868073878</v>
      </c>
      <c r="G147" s="4">
        <f t="shared" si="10"/>
        <v>18.935342548530858</v>
      </c>
      <c r="H147" s="50"/>
      <c r="I147" s="52">
        <f t="shared" si="11"/>
        <v>151.6</v>
      </c>
      <c r="J147" s="52">
        <f t="shared" si="12"/>
        <v>132.38999999999999</v>
      </c>
      <c r="K147" s="54"/>
      <c r="L147" s="54"/>
    </row>
    <row r="148" spans="1:16" ht="12.75" customHeight="1" x14ac:dyDescent="0.4">
      <c r="A148" s="43">
        <v>43373</v>
      </c>
      <c r="B148" s="80">
        <v>2913.97813988603</v>
      </c>
      <c r="C148" s="58">
        <v>41.38</v>
      </c>
      <c r="D148" s="58">
        <v>36.36</v>
      </c>
      <c r="E148" s="221"/>
      <c r="F148" s="80">
        <f t="shared" si="9"/>
        <v>19.372278552626181</v>
      </c>
      <c r="G148" s="4">
        <f t="shared" si="10"/>
        <v>22.348171944827286</v>
      </c>
      <c r="H148" s="50"/>
      <c r="I148" s="52">
        <f t="shared" si="11"/>
        <v>150.41999999999999</v>
      </c>
      <c r="J148" s="52">
        <f t="shared" si="12"/>
        <v>130.39000000000001</v>
      </c>
      <c r="K148" s="54"/>
      <c r="L148" s="54"/>
    </row>
    <row r="149" spans="1:16" ht="13.15" x14ac:dyDescent="0.4">
      <c r="A149" s="43">
        <v>43281</v>
      </c>
      <c r="B149" s="80">
        <v>2718.37</v>
      </c>
      <c r="C149" s="58">
        <v>38.65</v>
      </c>
      <c r="D149" s="58">
        <v>34.049999999999997</v>
      </c>
      <c r="E149" s="221"/>
      <c r="F149" s="80">
        <f t="shared" si="9"/>
        <v>19.365747666880385</v>
      </c>
      <c r="G149" s="4">
        <f t="shared" si="10"/>
        <v>22.194399085564989</v>
      </c>
      <c r="H149" s="50"/>
      <c r="I149" s="52">
        <f t="shared" si="11"/>
        <v>140.37</v>
      </c>
      <c r="J149" s="52">
        <f t="shared" si="12"/>
        <v>122.48</v>
      </c>
      <c r="K149" s="54"/>
      <c r="L149" s="54"/>
    </row>
    <row r="150" spans="1:16" ht="13.15" x14ac:dyDescent="0.4">
      <c r="A150" s="43">
        <v>43190</v>
      </c>
      <c r="B150" s="80">
        <v>2640.8659903292901</v>
      </c>
      <c r="C150" s="58">
        <v>36.54</v>
      </c>
      <c r="D150" s="58">
        <v>33.020000000000003</v>
      </c>
      <c r="E150" s="221"/>
      <c r="F150" s="80">
        <f t="shared" si="9"/>
        <v>19.971761251828557</v>
      </c>
      <c r="G150" s="4">
        <f t="shared" si="10"/>
        <v>22.876524517751992</v>
      </c>
      <c r="I150" s="52">
        <f t="shared" si="11"/>
        <v>132.22999999999999</v>
      </c>
      <c r="J150" s="52">
        <f t="shared" si="12"/>
        <v>115.44000000000001</v>
      </c>
      <c r="K150" s="54"/>
      <c r="L150" s="54"/>
    </row>
    <row r="151" spans="1:16" ht="13.15" x14ac:dyDescent="0.4">
      <c r="A151" s="43">
        <v>43100</v>
      </c>
      <c r="B151" s="44">
        <v>2673.6105231517399</v>
      </c>
      <c r="C151" s="36">
        <v>33.85</v>
      </c>
      <c r="D151" s="36">
        <v>26.96</v>
      </c>
      <c r="E151" s="221"/>
      <c r="F151" s="80">
        <f t="shared" si="9"/>
        <v>21.473058574827238</v>
      </c>
      <c r="G151" s="4">
        <f t="shared" si="10"/>
        <v>24.332094313357665</v>
      </c>
      <c r="I151" s="52">
        <f t="shared" si="11"/>
        <v>124.51000000000002</v>
      </c>
      <c r="J151" s="52">
        <f t="shared" si="12"/>
        <v>109.88</v>
      </c>
      <c r="K151" s="54"/>
      <c r="L151" s="54"/>
    </row>
    <row r="152" spans="1:16" ht="13.15" x14ac:dyDescent="0.4">
      <c r="A152" s="43">
        <v>43008</v>
      </c>
      <c r="B152" s="44">
        <v>2519.3596719060702</v>
      </c>
      <c r="C152" s="36">
        <v>31.33</v>
      </c>
      <c r="D152" s="36">
        <v>28.45</v>
      </c>
      <c r="E152" s="221"/>
      <c r="F152" s="80">
        <f t="shared" si="9"/>
        <v>21.249659850759702</v>
      </c>
      <c r="G152" s="4">
        <f t="shared" si="10"/>
        <v>23.527826596059676</v>
      </c>
      <c r="H152" s="50"/>
      <c r="I152" s="52">
        <f t="shared" si="11"/>
        <v>118.56</v>
      </c>
      <c r="J152" s="52">
        <f t="shared" si="12"/>
        <v>107.08</v>
      </c>
      <c r="K152" s="54"/>
      <c r="L152" s="54"/>
    </row>
    <row r="153" spans="1:16" ht="13.15" x14ac:dyDescent="0.4">
      <c r="A153" s="43">
        <v>42916</v>
      </c>
      <c r="B153" s="80">
        <v>2423.4088910629698</v>
      </c>
      <c r="C153" s="52">
        <v>30.51</v>
      </c>
      <c r="D153" s="52">
        <v>27.01</v>
      </c>
      <c r="E153" s="221"/>
      <c r="F153" s="80">
        <f t="shared" si="9"/>
        <v>20.905873801440389</v>
      </c>
      <c r="G153" s="4">
        <f t="shared" si="10"/>
        <v>23.297528274014322</v>
      </c>
      <c r="H153" s="50"/>
      <c r="I153" s="52">
        <f t="shared" si="11"/>
        <v>115.91999999999999</v>
      </c>
      <c r="J153" s="52">
        <f t="shared" si="12"/>
        <v>104.02</v>
      </c>
      <c r="K153" s="54"/>
      <c r="L153" s="54"/>
    </row>
    <row r="154" spans="1:16" ht="13.15" x14ac:dyDescent="0.4">
      <c r="A154" s="43">
        <v>42825</v>
      </c>
      <c r="B154" s="80">
        <v>2362.7182203972902</v>
      </c>
      <c r="C154" s="52">
        <v>28.82</v>
      </c>
      <c r="D154" s="52">
        <v>27.46</v>
      </c>
      <c r="E154" s="221"/>
      <c r="F154" s="80">
        <f t="shared" si="9"/>
        <v>21.264676630341917</v>
      </c>
      <c r="G154" s="4">
        <f t="shared" si="10"/>
        <v>23.558861505606643</v>
      </c>
      <c r="H154" s="50"/>
      <c r="I154" s="52">
        <f t="shared" si="11"/>
        <v>111.11</v>
      </c>
      <c r="J154" s="52">
        <f t="shared" si="12"/>
        <v>100.29</v>
      </c>
      <c r="K154" s="54"/>
      <c r="L154" s="54"/>
    </row>
    <row r="155" spans="1:16" ht="13.15" x14ac:dyDescent="0.4">
      <c r="A155" s="43">
        <v>42735</v>
      </c>
      <c r="B155" s="80">
        <v>2238.83</v>
      </c>
      <c r="C155" s="26">
        <v>27.9</v>
      </c>
      <c r="D155" s="137">
        <v>24.16</v>
      </c>
      <c r="E155" s="221"/>
      <c r="F155" s="80">
        <f t="shared" si="9"/>
        <v>21.069358178053829</v>
      </c>
      <c r="G155" s="4">
        <f t="shared" si="10"/>
        <v>23.678794288736118</v>
      </c>
      <c r="H155" s="23"/>
      <c r="I155" s="52">
        <f>SUM(C155:C158)</f>
        <v>106.26</v>
      </c>
      <c r="J155" s="52">
        <v>94.55</v>
      </c>
      <c r="K155" s="54"/>
      <c r="L155" s="54"/>
      <c r="M155" s="9"/>
    </row>
    <row r="156" spans="1:16" ht="13.15" x14ac:dyDescent="0.4">
      <c r="A156" s="43">
        <v>42643</v>
      </c>
      <c r="B156" s="80">
        <v>2168.2720896372798</v>
      </c>
      <c r="C156" s="26">
        <v>28.69</v>
      </c>
      <c r="D156" s="137">
        <v>25.39</v>
      </c>
      <c r="E156" s="221"/>
      <c r="F156" s="80">
        <f t="shared" si="9"/>
        <v>21.379137148859002</v>
      </c>
      <c r="G156" s="4">
        <f t="shared" si="10"/>
        <v>24.33799629180918</v>
      </c>
      <c r="H156" s="23"/>
      <c r="I156" s="52">
        <v>101.42</v>
      </c>
      <c r="J156" s="52">
        <v>89.09</v>
      </c>
      <c r="K156" s="54"/>
      <c r="L156" s="54"/>
      <c r="M156" s="9"/>
      <c r="N156" s="9"/>
      <c r="O156" s="9"/>
      <c r="P156" s="9"/>
    </row>
    <row r="157" spans="1:16" s="9" customFormat="1" ht="13.15" x14ac:dyDescent="0.4">
      <c r="A157" s="43">
        <v>42551</v>
      </c>
      <c r="B157" s="80">
        <v>2098.8552265056101</v>
      </c>
      <c r="C157" s="26">
        <v>25.7</v>
      </c>
      <c r="D157" s="137">
        <v>23.28</v>
      </c>
      <c r="E157" s="221"/>
      <c r="F157" s="80">
        <f t="shared" si="9"/>
        <v>21.379802653617297</v>
      </c>
      <c r="G157" s="4">
        <f t="shared" si="10"/>
        <v>24.146976835085251</v>
      </c>
      <c r="H157" s="23"/>
      <c r="I157" s="52">
        <v>98.17</v>
      </c>
      <c r="J157" s="52">
        <v>86.92</v>
      </c>
      <c r="K157" s="54"/>
      <c r="L157" s="54"/>
      <c r="M157"/>
    </row>
    <row r="158" spans="1:16" s="82" customFormat="1" ht="13.15" x14ac:dyDescent="0.4">
      <c r="A158" s="43">
        <v>42460</v>
      </c>
      <c r="B158" s="162">
        <v>2059.7411766011501</v>
      </c>
      <c r="C158" s="161">
        <v>23.97</v>
      </c>
      <c r="D158" s="161">
        <v>21.72</v>
      </c>
      <c r="E158" s="221"/>
      <c r="F158" s="80">
        <f t="shared" si="9"/>
        <v>20.8877515120287</v>
      </c>
      <c r="G158" s="4">
        <f t="shared" si="10"/>
        <v>23.828565208250232</v>
      </c>
      <c r="H158" s="50"/>
      <c r="I158" s="52">
        <v>98.61</v>
      </c>
      <c r="J158" s="52">
        <v>86.44</v>
      </c>
      <c r="K158" s="54"/>
      <c r="L158" s="54"/>
    </row>
    <row r="159" spans="1:16" ht="13.15" x14ac:dyDescent="0.4">
      <c r="A159" s="43">
        <v>42369</v>
      </c>
      <c r="B159" s="80">
        <v>2043.94</v>
      </c>
      <c r="C159" s="26">
        <v>23.06</v>
      </c>
      <c r="D159" s="137">
        <v>18.7</v>
      </c>
      <c r="E159" s="221"/>
      <c r="F159" s="80">
        <f t="shared" si="9"/>
        <v>20.347834743653561</v>
      </c>
      <c r="G159" s="4">
        <f t="shared" si="10"/>
        <v>23.62117184791402</v>
      </c>
      <c r="H159" s="50"/>
      <c r="I159" s="52">
        <v>100.45</v>
      </c>
      <c r="J159" s="52">
        <v>86.53</v>
      </c>
      <c r="K159" s="54"/>
      <c r="L159" s="54"/>
    </row>
    <row r="160" spans="1:16" ht="13.15" x14ac:dyDescent="0.4">
      <c r="A160" s="43">
        <v>42277</v>
      </c>
      <c r="B160" s="80">
        <v>1920.0265516397001</v>
      </c>
      <c r="C160" s="26">
        <v>25.44</v>
      </c>
      <c r="D160" s="137">
        <v>23.22</v>
      </c>
      <c r="E160" s="221"/>
      <c r="F160" s="80">
        <f t="shared" si="9"/>
        <v>18.436974761280009</v>
      </c>
      <c r="G160" s="4">
        <f t="shared" si="10"/>
        <v>21.17832066666336</v>
      </c>
      <c r="H160" s="50"/>
      <c r="I160" s="52">
        <v>104.14</v>
      </c>
      <c r="J160" s="52">
        <v>90.66</v>
      </c>
      <c r="K160" s="54"/>
      <c r="L160" s="54"/>
    </row>
    <row r="161" spans="1:12" s="9" customFormat="1" ht="13.15" x14ac:dyDescent="0.4">
      <c r="A161" s="43">
        <v>42185</v>
      </c>
      <c r="B161" s="80">
        <v>2063.1118322236698</v>
      </c>
      <c r="C161" s="26">
        <v>26.14</v>
      </c>
      <c r="D161" s="137">
        <v>22.8</v>
      </c>
      <c r="E161" s="221"/>
      <c r="F161" s="80">
        <f t="shared" si="9"/>
        <v>19.049970749987715</v>
      </c>
      <c r="G161" s="4">
        <f t="shared" si="10"/>
        <v>21.737560133006742</v>
      </c>
      <c r="H161" s="50"/>
      <c r="I161" s="52">
        <v>108.30000000000001</v>
      </c>
      <c r="J161" s="52">
        <v>94.91</v>
      </c>
      <c r="K161" s="54"/>
      <c r="L161" s="54"/>
    </row>
    <row r="162" spans="1:12" ht="13.15" x14ac:dyDescent="0.4">
      <c r="A162" s="43">
        <v>42094</v>
      </c>
      <c r="B162" s="80">
        <v>2067.88724075851</v>
      </c>
      <c r="C162" s="26">
        <v>25.81</v>
      </c>
      <c r="D162" s="137">
        <v>21.81</v>
      </c>
      <c r="E162" s="221"/>
      <c r="F162" s="80">
        <f t="shared" si="9"/>
        <v>18.54607390814807</v>
      </c>
      <c r="G162" s="4">
        <f t="shared" si="10"/>
        <v>20.835135927037882</v>
      </c>
      <c r="H162" s="50"/>
      <c r="I162" s="52">
        <v>111.5</v>
      </c>
      <c r="J162" s="52">
        <v>99.25</v>
      </c>
      <c r="K162" s="54"/>
      <c r="L162" s="54"/>
    </row>
    <row r="163" spans="1:12" ht="13.15" x14ac:dyDescent="0.4">
      <c r="A163" s="43">
        <v>42004</v>
      </c>
      <c r="B163" s="44">
        <v>2058.9023788568802</v>
      </c>
      <c r="C163" s="36">
        <v>26.75</v>
      </c>
      <c r="D163" s="36">
        <v>22.83</v>
      </c>
      <c r="E163" s="221"/>
      <c r="F163" s="80">
        <f t="shared" si="9"/>
        <v>18.218762754241929</v>
      </c>
      <c r="G163" s="4">
        <f t="shared" si="10"/>
        <v>20.12415578982387</v>
      </c>
      <c r="H163" s="50"/>
      <c r="I163" s="52">
        <v>113.00999999999999</v>
      </c>
      <c r="J163" s="52">
        <v>102.31</v>
      </c>
      <c r="K163" s="54"/>
      <c r="L163" s="54"/>
    </row>
    <row r="164" spans="1:12" ht="13.15" x14ac:dyDescent="0.4">
      <c r="A164" s="43">
        <v>41912</v>
      </c>
      <c r="B164" s="80">
        <v>1972.28514504996</v>
      </c>
      <c r="C164" s="26">
        <v>29.6</v>
      </c>
      <c r="D164" s="58">
        <v>27.47</v>
      </c>
      <c r="E164" s="221"/>
      <c r="F164" s="80">
        <f t="shared" si="9"/>
        <v>17.223693520652869</v>
      </c>
      <c r="G164" s="4">
        <f t="shared" si="10"/>
        <v>18.613487590127971</v>
      </c>
      <c r="H164" s="50"/>
      <c r="I164" s="52">
        <v>114.50999999999999</v>
      </c>
      <c r="J164" s="52">
        <v>105.96000000000001</v>
      </c>
      <c r="K164" s="54"/>
      <c r="L164" s="54"/>
    </row>
    <row r="165" spans="1:12" ht="13.15" x14ac:dyDescent="0.4">
      <c r="A165" s="43">
        <v>41820</v>
      </c>
      <c r="B165" s="80">
        <v>1960.23124036383</v>
      </c>
      <c r="C165" s="26">
        <v>29.34</v>
      </c>
      <c r="D165" s="58">
        <v>27.14</v>
      </c>
      <c r="E165" s="221"/>
      <c r="F165" s="80">
        <f t="shared" si="9"/>
        <v>17.528670664077886</v>
      </c>
      <c r="G165" s="4">
        <f t="shared" si="10"/>
        <v>19.009224596235743</v>
      </c>
      <c r="H165" s="50"/>
      <c r="I165" s="52">
        <v>111.83</v>
      </c>
      <c r="J165" s="52">
        <v>103.12</v>
      </c>
      <c r="K165" s="54"/>
      <c r="L165" s="54"/>
    </row>
    <row r="166" spans="1:12" ht="13.15" x14ac:dyDescent="0.4">
      <c r="A166" s="43">
        <v>41729</v>
      </c>
      <c r="B166" s="80">
        <v>1872.33517921728</v>
      </c>
      <c r="C166" s="26">
        <v>27.32</v>
      </c>
      <c r="D166" s="58">
        <v>24.87</v>
      </c>
      <c r="E166" s="221"/>
      <c r="F166" s="80">
        <f t="shared" si="9"/>
        <v>17.201058146231325</v>
      </c>
      <c r="G166" s="4">
        <f t="shared" si="10"/>
        <v>18.5655446625412</v>
      </c>
      <c r="I166" s="52">
        <v>108.85000000000001</v>
      </c>
      <c r="J166" s="52">
        <v>100.85000000000001</v>
      </c>
      <c r="K166" s="54"/>
      <c r="L166" s="54"/>
    </row>
    <row r="167" spans="1:12" ht="13.15" x14ac:dyDescent="0.4">
      <c r="A167" s="43">
        <v>41639</v>
      </c>
      <c r="B167" s="80">
        <v>1848.3565209419301</v>
      </c>
      <c r="C167" s="26">
        <v>28.25</v>
      </c>
      <c r="D167" s="52">
        <v>26.48</v>
      </c>
      <c r="E167" s="221"/>
      <c r="F167" s="80">
        <f t="shared" ref="F167:F198" si="13">B167/I167</f>
        <v>17.22606263692386</v>
      </c>
      <c r="G167" s="4">
        <f t="shared" ref="G167:G198" si="14">B167/J167</f>
        <v>18.446671865687925</v>
      </c>
      <c r="I167" s="52">
        <v>107.3</v>
      </c>
      <c r="J167" s="52">
        <v>100.2</v>
      </c>
      <c r="K167" s="54"/>
      <c r="L167" s="54"/>
    </row>
    <row r="168" spans="1:12" ht="13.15" x14ac:dyDescent="0.4">
      <c r="A168" s="43">
        <v>41547</v>
      </c>
      <c r="B168" s="44">
        <v>1681.54666211214</v>
      </c>
      <c r="C168" s="36">
        <v>26.92</v>
      </c>
      <c r="D168" s="36">
        <v>24.63</v>
      </c>
      <c r="E168" s="221"/>
      <c r="F168" s="80">
        <f t="shared" si="13"/>
        <v>16.45348984454149</v>
      </c>
      <c r="G168" s="4">
        <f t="shared" si="14"/>
        <v>17.818657010831195</v>
      </c>
      <c r="I168" s="52">
        <v>102.19999999999999</v>
      </c>
      <c r="J168" s="52">
        <v>94.37</v>
      </c>
      <c r="K168" s="54"/>
      <c r="L168" s="54"/>
    </row>
    <row r="169" spans="1:12" ht="13.15" x14ac:dyDescent="0.4">
      <c r="A169" s="43">
        <v>41455</v>
      </c>
      <c r="B169" s="80">
        <v>1606.27760773726</v>
      </c>
      <c r="C169" s="26">
        <v>26.36</v>
      </c>
      <c r="D169" s="52">
        <v>24.87</v>
      </c>
      <c r="E169" s="221"/>
      <c r="F169" s="80">
        <f t="shared" si="13"/>
        <v>16.179266798320509</v>
      </c>
      <c r="G169" s="4">
        <f t="shared" si="14"/>
        <v>17.661106187325561</v>
      </c>
      <c r="H169" s="50"/>
      <c r="I169" s="52">
        <v>99.28</v>
      </c>
      <c r="J169" s="52">
        <v>90.950000000000017</v>
      </c>
      <c r="K169" s="54"/>
      <c r="L169" s="54"/>
    </row>
    <row r="170" spans="1:12" ht="13.15" x14ac:dyDescent="0.4">
      <c r="A170" s="43">
        <v>41364</v>
      </c>
      <c r="B170" s="80">
        <v>1569.18587246845</v>
      </c>
      <c r="C170" s="26">
        <v>25.77</v>
      </c>
      <c r="D170" s="103">
        <v>24.22</v>
      </c>
      <c r="E170" s="221"/>
      <c r="F170" s="80">
        <f t="shared" si="13"/>
        <v>15.95511817456482</v>
      </c>
      <c r="G170" s="4">
        <f t="shared" si="14"/>
        <v>17.892655330312998</v>
      </c>
      <c r="H170" s="49"/>
      <c r="I170" s="52">
        <v>98.35</v>
      </c>
      <c r="J170" s="52">
        <v>87.7</v>
      </c>
      <c r="K170" s="54"/>
      <c r="L170" s="54"/>
    </row>
    <row r="171" spans="1:12" ht="13.15" x14ac:dyDescent="0.4">
      <c r="A171" s="43">
        <v>41274</v>
      </c>
      <c r="B171" s="80">
        <v>1426.18797808055</v>
      </c>
      <c r="C171" s="26">
        <v>23.15</v>
      </c>
      <c r="D171" s="29">
        <v>20.65</v>
      </c>
      <c r="E171" s="221"/>
      <c r="F171" s="80">
        <f t="shared" si="13"/>
        <v>14.730303429875544</v>
      </c>
      <c r="G171" s="4">
        <f t="shared" si="14"/>
        <v>16.485816415218473</v>
      </c>
      <c r="H171" s="49"/>
      <c r="I171" s="52">
        <v>96.82</v>
      </c>
      <c r="J171" s="52">
        <v>86.51</v>
      </c>
      <c r="K171" s="54"/>
      <c r="L171" s="54"/>
    </row>
    <row r="172" spans="1:12" x14ac:dyDescent="0.35">
      <c r="A172" s="43">
        <v>41182</v>
      </c>
      <c r="B172" s="80">
        <v>1440.67</v>
      </c>
      <c r="C172" s="26">
        <v>24</v>
      </c>
      <c r="D172" s="37">
        <v>21.21</v>
      </c>
      <c r="E172" s="221"/>
      <c r="F172" s="80">
        <f t="shared" si="13"/>
        <v>14.791273100616017</v>
      </c>
      <c r="G172" s="4">
        <f t="shared" si="14"/>
        <v>16.655144508670521</v>
      </c>
      <c r="H172" s="49"/>
      <c r="I172" s="52">
        <v>97.4</v>
      </c>
      <c r="J172" s="52">
        <v>86.5</v>
      </c>
      <c r="K172" s="52"/>
    </row>
    <row r="173" spans="1:12" x14ac:dyDescent="0.35">
      <c r="A173" s="43">
        <v>41090</v>
      </c>
      <c r="B173" s="80">
        <v>1362.1587454406599</v>
      </c>
      <c r="C173" s="26">
        <v>25.43</v>
      </c>
      <c r="D173" s="37">
        <v>21.62</v>
      </c>
      <c r="E173" s="221"/>
      <c r="F173" s="80">
        <f t="shared" si="13"/>
        <v>13.802398879731076</v>
      </c>
      <c r="G173" s="4">
        <f t="shared" si="14"/>
        <v>15.493161344866468</v>
      </c>
      <c r="H173" s="49"/>
      <c r="I173" s="52">
        <v>98.69</v>
      </c>
      <c r="J173" s="52">
        <v>87.92</v>
      </c>
      <c r="K173" s="52"/>
    </row>
    <row r="174" spans="1:12" x14ac:dyDescent="0.35">
      <c r="A174" s="43">
        <v>40999</v>
      </c>
      <c r="B174" s="34">
        <v>1408.46786041941</v>
      </c>
      <c r="C174" s="26">
        <v>24.24</v>
      </c>
      <c r="D174" s="37">
        <v>23.03</v>
      </c>
      <c r="E174" s="221"/>
      <c r="F174" s="80">
        <f t="shared" si="13"/>
        <v>14.354544031995619</v>
      </c>
      <c r="G174" s="4">
        <f t="shared" si="14"/>
        <v>15.907701156758643</v>
      </c>
      <c r="I174" s="52">
        <v>98.11999999999999</v>
      </c>
      <c r="J174" s="52">
        <v>88.539999999999992</v>
      </c>
      <c r="K174" s="52"/>
    </row>
    <row r="175" spans="1:12" x14ac:dyDescent="0.35">
      <c r="A175" s="43">
        <v>40908</v>
      </c>
      <c r="B175" s="14">
        <v>1257.60480453436</v>
      </c>
      <c r="C175" s="26">
        <v>23.73</v>
      </c>
      <c r="D175" s="26">
        <v>20.64</v>
      </c>
      <c r="E175" s="221"/>
      <c r="F175" s="80">
        <f t="shared" si="13"/>
        <v>13.040282087664455</v>
      </c>
      <c r="G175" s="4">
        <f t="shared" si="14"/>
        <v>14.463540017646466</v>
      </c>
      <c r="H175" s="30"/>
      <c r="I175" s="52">
        <v>96.44</v>
      </c>
      <c r="J175" s="52">
        <v>86.949999999999989</v>
      </c>
      <c r="K175" s="52"/>
    </row>
    <row r="176" spans="1:12" x14ac:dyDescent="0.35">
      <c r="A176" s="43">
        <v>40816</v>
      </c>
      <c r="B176" s="8">
        <v>1131.42036008329</v>
      </c>
      <c r="C176" s="26">
        <v>25.29</v>
      </c>
      <c r="D176" s="26">
        <v>22.63</v>
      </c>
      <c r="E176" s="221"/>
      <c r="F176" s="80">
        <f t="shared" si="13"/>
        <v>11.954991125140429</v>
      </c>
      <c r="G176" s="4">
        <f t="shared" si="14"/>
        <v>13.007822029010002</v>
      </c>
      <c r="H176" s="30"/>
      <c r="I176" s="52">
        <v>94.639999999999986</v>
      </c>
      <c r="J176" s="52">
        <v>86.98</v>
      </c>
      <c r="K176" s="52"/>
    </row>
    <row r="177" spans="1:16" x14ac:dyDescent="0.35">
      <c r="A177" s="43">
        <v>40724</v>
      </c>
      <c r="B177" s="8">
        <v>1320.63904926284</v>
      </c>
      <c r="C177" s="26">
        <v>24.86</v>
      </c>
      <c r="D177" s="26">
        <v>22.24</v>
      </c>
      <c r="E177" s="221"/>
      <c r="F177" s="80">
        <f t="shared" si="13"/>
        <v>14.526884273048511</v>
      </c>
      <c r="G177" s="4">
        <f t="shared" si="14"/>
        <v>15.74626265962609</v>
      </c>
      <c r="H177" s="30"/>
      <c r="I177" s="52">
        <v>90.91</v>
      </c>
      <c r="J177" s="52">
        <v>83.86999999999999</v>
      </c>
      <c r="K177" s="52"/>
    </row>
    <row r="178" spans="1:16" x14ac:dyDescent="0.35">
      <c r="A178" s="43">
        <v>40633</v>
      </c>
      <c r="B178" s="47">
        <v>1325.82671751112</v>
      </c>
      <c r="C178" s="40">
        <v>22.56</v>
      </c>
      <c r="D178" s="26">
        <v>21.44</v>
      </c>
      <c r="E178" s="221"/>
      <c r="F178" s="80">
        <f t="shared" si="13"/>
        <v>15.248150862692585</v>
      </c>
      <c r="G178" s="4">
        <f t="shared" si="14"/>
        <v>16.305826067041199</v>
      </c>
      <c r="I178" s="52">
        <v>86.949999999999989</v>
      </c>
      <c r="J178" s="52">
        <v>81.31</v>
      </c>
      <c r="K178" s="52"/>
    </row>
    <row r="179" spans="1:16" ht="12" customHeight="1" x14ac:dyDescent="0.35">
      <c r="A179" s="43">
        <v>40543</v>
      </c>
      <c r="B179" s="44">
        <v>1257.63598797798</v>
      </c>
      <c r="C179" s="36">
        <v>21.93</v>
      </c>
      <c r="D179" s="17">
        <v>20.67</v>
      </c>
      <c r="E179" s="221"/>
      <c r="F179" s="80">
        <f t="shared" si="13"/>
        <v>15.012963924769968</v>
      </c>
      <c r="G179" s="4">
        <f t="shared" si="14"/>
        <v>16.259030225959666</v>
      </c>
      <c r="I179" s="52">
        <f t="shared" ref="I179:I210" si="15">SUM(C179:C182)</f>
        <v>83.769999999999982</v>
      </c>
      <c r="J179" s="52">
        <f t="shared" ref="J179:J210" si="16">SUM(D179:D182)</f>
        <v>77.349999999999994</v>
      </c>
      <c r="K179" s="52"/>
    </row>
    <row r="180" spans="1:16" x14ac:dyDescent="0.35">
      <c r="A180" s="43">
        <v>40451</v>
      </c>
      <c r="B180" s="44">
        <v>1141.20115690593</v>
      </c>
      <c r="C180" s="36">
        <v>21.56</v>
      </c>
      <c r="D180" s="17">
        <v>19.52</v>
      </c>
      <c r="E180" s="221"/>
      <c r="F180" s="80">
        <f t="shared" si="13"/>
        <v>14.445584264632028</v>
      </c>
      <c r="G180" s="4">
        <f t="shared" si="14"/>
        <v>15.880895587335511</v>
      </c>
      <c r="H180" s="39"/>
      <c r="I180" s="52">
        <f t="shared" si="15"/>
        <v>78.999999999999986</v>
      </c>
      <c r="J180" s="52">
        <f t="shared" si="16"/>
        <v>71.860000000000014</v>
      </c>
      <c r="K180" s="52"/>
    </row>
    <row r="181" spans="1:16" x14ac:dyDescent="0.35">
      <c r="A181" s="43">
        <v>40359</v>
      </c>
      <c r="B181" s="48">
        <v>1030.71008330308</v>
      </c>
      <c r="C181" s="23">
        <v>20.9</v>
      </c>
      <c r="D181" s="23">
        <v>19.68</v>
      </c>
      <c r="E181" s="221"/>
      <c r="F181" s="80">
        <f t="shared" si="13"/>
        <v>14.076892697392516</v>
      </c>
      <c r="G181" s="4">
        <f t="shared" si="14"/>
        <v>15.360806010478093</v>
      </c>
      <c r="H181" s="39"/>
      <c r="I181" s="52">
        <f t="shared" si="15"/>
        <v>73.22</v>
      </c>
      <c r="J181" s="52">
        <f t="shared" si="16"/>
        <v>67.099999999999994</v>
      </c>
      <c r="K181" s="52"/>
    </row>
    <row r="182" spans="1:16" x14ac:dyDescent="0.35">
      <c r="A182" s="43">
        <v>40268</v>
      </c>
      <c r="B182" s="1">
        <v>1169.43119269817</v>
      </c>
      <c r="C182" s="23">
        <v>19.38</v>
      </c>
      <c r="D182" s="29">
        <v>17.48</v>
      </c>
      <c r="E182" s="221"/>
      <c r="F182" s="80">
        <f t="shared" si="13"/>
        <v>17.68382266290897</v>
      </c>
      <c r="G182" s="4">
        <f t="shared" si="14"/>
        <v>19.193027945152963</v>
      </c>
      <c r="H182" s="39"/>
      <c r="I182" s="52">
        <f t="shared" si="15"/>
        <v>66.13</v>
      </c>
      <c r="J182" s="52">
        <f t="shared" si="16"/>
        <v>60.929999999999993</v>
      </c>
      <c r="K182" s="52"/>
      <c r="L182" s="9"/>
      <c r="M182" s="9"/>
    </row>
    <row r="183" spans="1:16" x14ac:dyDescent="0.35">
      <c r="A183" s="43">
        <v>40178</v>
      </c>
      <c r="B183" s="42">
        <v>1115.0999999999999</v>
      </c>
      <c r="C183" s="23">
        <v>17.16</v>
      </c>
      <c r="D183" s="23">
        <v>15.18</v>
      </c>
      <c r="E183" s="221"/>
      <c r="F183" s="80">
        <f t="shared" si="13"/>
        <v>19.611326064016882</v>
      </c>
      <c r="G183" s="4">
        <f t="shared" si="14"/>
        <v>21.877575044143612</v>
      </c>
      <c r="I183" s="52">
        <f t="shared" si="15"/>
        <v>56.86</v>
      </c>
      <c r="J183" s="52">
        <f t="shared" si="16"/>
        <v>50.97</v>
      </c>
      <c r="K183" s="52"/>
      <c r="N183" s="9"/>
      <c r="O183" s="9"/>
      <c r="P183" s="9"/>
    </row>
    <row r="184" spans="1:16" s="9" customFormat="1" x14ac:dyDescent="0.35">
      <c r="A184" s="43">
        <v>40086</v>
      </c>
      <c r="B184" s="44">
        <v>1057.0786000000001</v>
      </c>
      <c r="C184" s="36">
        <v>15.78</v>
      </c>
      <c r="D184" s="29">
        <v>14.76</v>
      </c>
      <c r="E184" s="221"/>
      <c r="F184" s="80">
        <f t="shared" si="13"/>
        <v>26.687164857359253</v>
      </c>
      <c r="G184" s="4">
        <f t="shared" si="14"/>
        <v>84.296539074960137</v>
      </c>
      <c r="H184"/>
      <c r="I184" s="52">
        <f t="shared" si="15"/>
        <v>39.61</v>
      </c>
      <c r="J184" s="52">
        <f t="shared" si="16"/>
        <v>12.54</v>
      </c>
      <c r="K184" s="52"/>
      <c r="L184"/>
      <c r="M184"/>
      <c r="N184"/>
      <c r="O184"/>
      <c r="P184"/>
    </row>
    <row r="185" spans="1:16" x14ac:dyDescent="0.35">
      <c r="A185" s="43">
        <v>39994</v>
      </c>
      <c r="B185" s="44">
        <v>919.32</v>
      </c>
      <c r="C185" s="36">
        <v>13.81</v>
      </c>
      <c r="D185" s="29">
        <v>13.51</v>
      </c>
      <c r="E185" s="221"/>
      <c r="F185" s="80">
        <f t="shared" si="13"/>
        <v>23.104297562201555</v>
      </c>
      <c r="G185" s="4">
        <f t="shared" si="14"/>
        <v>122.41278295605856</v>
      </c>
      <c r="I185" s="52">
        <f t="shared" si="15"/>
        <v>39.790000000000006</v>
      </c>
      <c r="J185" s="52">
        <f t="shared" si="16"/>
        <v>7.5100000000000016</v>
      </c>
      <c r="K185" s="52"/>
      <c r="L185" s="9"/>
      <c r="M185" s="9"/>
    </row>
    <row r="186" spans="1:16" x14ac:dyDescent="0.35">
      <c r="A186" s="43">
        <v>39903</v>
      </c>
      <c r="B186" s="13">
        <v>797.86699999999996</v>
      </c>
      <c r="C186" s="23">
        <v>10.11</v>
      </c>
      <c r="D186" s="29">
        <v>7.52</v>
      </c>
      <c r="E186" s="221"/>
      <c r="F186" s="80">
        <f t="shared" si="13"/>
        <v>18.555046511627907</v>
      </c>
      <c r="G186" s="4">
        <f t="shared" si="14"/>
        <v>116.30714285714286</v>
      </c>
      <c r="I186" s="52">
        <f t="shared" si="15"/>
        <v>43</v>
      </c>
      <c r="J186" s="52">
        <f t="shared" si="16"/>
        <v>6.8599999999999994</v>
      </c>
      <c r="K186" s="52"/>
      <c r="L186" s="9"/>
      <c r="M186" s="9"/>
      <c r="N186" s="9"/>
      <c r="O186" s="9"/>
      <c r="P186" s="9"/>
    </row>
    <row r="187" spans="1:16" s="9" customFormat="1" x14ac:dyDescent="0.35">
      <c r="A187" s="43">
        <v>39813</v>
      </c>
      <c r="B187" s="12">
        <v>903.25</v>
      </c>
      <c r="C187" s="23">
        <v>-0.09</v>
      </c>
      <c r="D187" s="29">
        <v>-23.25</v>
      </c>
      <c r="E187" s="221"/>
      <c r="F187" s="80">
        <f t="shared" si="13"/>
        <v>18.243789133508379</v>
      </c>
      <c r="G187" s="4">
        <f t="shared" si="14"/>
        <v>60.70228494623656</v>
      </c>
      <c r="H187"/>
      <c r="I187" s="52">
        <f t="shared" si="15"/>
        <v>49.510000000000005</v>
      </c>
      <c r="J187" s="52">
        <f t="shared" si="16"/>
        <v>14.879999999999999</v>
      </c>
      <c r="K187" s="52"/>
      <c r="L187"/>
      <c r="M187"/>
    </row>
    <row r="188" spans="1:16" s="9" customFormat="1" x14ac:dyDescent="0.35">
      <c r="A188" s="43">
        <v>39721</v>
      </c>
      <c r="B188" s="12">
        <v>1166.361418</v>
      </c>
      <c r="C188" s="24">
        <v>15.96</v>
      </c>
      <c r="D188" s="17">
        <v>9.73</v>
      </c>
      <c r="E188" s="221"/>
      <c r="F188" s="80">
        <f t="shared" si="13"/>
        <v>17.993850941067571</v>
      </c>
      <c r="G188" s="4">
        <f t="shared" si="14"/>
        <v>25.383273514689883</v>
      </c>
      <c r="H188"/>
      <c r="I188" s="52">
        <f t="shared" si="15"/>
        <v>64.820000000000007</v>
      </c>
      <c r="J188" s="52">
        <f t="shared" si="16"/>
        <v>45.949999999999996</v>
      </c>
      <c r="K188" s="52"/>
      <c r="N188"/>
      <c r="O188"/>
      <c r="P188"/>
    </row>
    <row r="189" spans="1:16" x14ac:dyDescent="0.35">
      <c r="A189" s="43">
        <v>39629</v>
      </c>
      <c r="B189" s="1">
        <v>1280.001</v>
      </c>
      <c r="C189" s="24">
        <v>17.02</v>
      </c>
      <c r="D189" s="24">
        <v>12.86</v>
      </c>
      <c r="E189" s="221"/>
      <c r="F189" s="80">
        <f t="shared" si="13"/>
        <v>18.356532339021939</v>
      </c>
      <c r="G189" s="4">
        <f t="shared" si="14"/>
        <v>24.917286353903059</v>
      </c>
      <c r="I189" s="52">
        <f t="shared" si="15"/>
        <v>69.73</v>
      </c>
      <c r="J189" s="52">
        <f t="shared" si="16"/>
        <v>51.37</v>
      </c>
      <c r="K189" s="52"/>
      <c r="N189" s="9"/>
      <c r="O189" s="9"/>
      <c r="P189" s="9"/>
    </row>
    <row r="190" spans="1:16" s="9" customFormat="1" x14ac:dyDescent="0.35">
      <c r="A190" s="43">
        <v>39538</v>
      </c>
      <c r="B190" s="12">
        <v>1322.703</v>
      </c>
      <c r="C190" s="24">
        <v>16.62</v>
      </c>
      <c r="D190" s="24">
        <v>15.54</v>
      </c>
      <c r="E190" s="221"/>
      <c r="F190" s="80">
        <f t="shared" si="13"/>
        <v>17.229425556858146</v>
      </c>
      <c r="G190" s="4">
        <f t="shared" si="14"/>
        <v>21.902412613211197</v>
      </c>
      <c r="H190"/>
      <c r="I190" s="52">
        <f t="shared" si="15"/>
        <v>76.77000000000001</v>
      </c>
      <c r="J190" s="52">
        <f t="shared" si="16"/>
        <v>60.390744314722937</v>
      </c>
      <c r="K190" s="52"/>
      <c r="L190"/>
      <c r="M190"/>
      <c r="N190"/>
      <c r="O190"/>
      <c r="P190"/>
    </row>
    <row r="191" spans="1:16" x14ac:dyDescent="0.35">
      <c r="A191" s="43">
        <v>39447</v>
      </c>
      <c r="B191" s="1">
        <v>1468.3552</v>
      </c>
      <c r="C191" s="23">
        <v>15.22</v>
      </c>
      <c r="D191" s="29">
        <v>7.82</v>
      </c>
      <c r="E191" s="221"/>
      <c r="F191" s="80">
        <f t="shared" si="13"/>
        <v>17.789619578386237</v>
      </c>
      <c r="G191" s="4">
        <f t="shared" si="14"/>
        <v>22.187045721595815</v>
      </c>
      <c r="I191" s="52">
        <f t="shared" si="15"/>
        <v>82.54</v>
      </c>
      <c r="J191" s="52">
        <f t="shared" si="16"/>
        <v>66.180744314722929</v>
      </c>
      <c r="K191" s="52"/>
    </row>
    <row r="192" spans="1:16" x14ac:dyDescent="0.35">
      <c r="A192" s="43">
        <v>39355</v>
      </c>
      <c r="B192" s="11">
        <v>1526.75</v>
      </c>
      <c r="C192" s="23">
        <v>20.87</v>
      </c>
      <c r="D192" s="29">
        <v>15.15</v>
      </c>
      <c r="E192" s="221"/>
      <c r="F192" s="80">
        <f t="shared" si="13"/>
        <v>17.094950173552796</v>
      </c>
      <c r="G192" s="4">
        <f t="shared" si="14"/>
        <v>19.424116314812302</v>
      </c>
      <c r="I192" s="52">
        <f t="shared" si="15"/>
        <v>89.309999999999988</v>
      </c>
      <c r="J192" s="52">
        <f t="shared" si="16"/>
        <v>78.600744314722931</v>
      </c>
      <c r="K192" s="52"/>
      <c r="L192" s="9"/>
      <c r="M192" s="9"/>
    </row>
    <row r="193" spans="1:16" x14ac:dyDescent="0.35">
      <c r="A193" s="43">
        <v>39263</v>
      </c>
      <c r="B193" s="1">
        <v>1503.3486</v>
      </c>
      <c r="C193" s="23">
        <v>24.06</v>
      </c>
      <c r="D193" s="29">
        <v>21.880744314722936</v>
      </c>
      <c r="E193" s="221"/>
      <c r="F193" s="80">
        <f t="shared" si="13"/>
        <v>16.43542800918334</v>
      </c>
      <c r="G193" s="4">
        <f t="shared" si="14"/>
        <v>17.70296070920519</v>
      </c>
      <c r="I193" s="52">
        <f t="shared" si="15"/>
        <v>91.47</v>
      </c>
      <c r="J193" s="52">
        <f t="shared" si="16"/>
        <v>84.920744314722924</v>
      </c>
      <c r="K193" s="52"/>
      <c r="N193" s="9"/>
      <c r="O193" s="9"/>
      <c r="P193" s="9"/>
    </row>
    <row r="194" spans="1:16" s="9" customFormat="1" x14ac:dyDescent="0.35">
      <c r="A194" s="43">
        <v>39172</v>
      </c>
      <c r="B194" s="1">
        <v>1420.86</v>
      </c>
      <c r="C194" s="23">
        <v>22.39</v>
      </c>
      <c r="D194" s="30">
        <v>21.33</v>
      </c>
      <c r="E194" s="221"/>
      <c r="F194" s="80">
        <f t="shared" si="13"/>
        <v>15.900402864816472</v>
      </c>
      <c r="G194" s="4">
        <f t="shared" si="14"/>
        <v>17.087913409500903</v>
      </c>
      <c r="H194"/>
      <c r="I194" s="52">
        <f t="shared" si="15"/>
        <v>89.36</v>
      </c>
      <c r="J194" s="52">
        <f t="shared" si="16"/>
        <v>83.149999999999991</v>
      </c>
      <c r="K194" s="52"/>
      <c r="L194"/>
      <c r="M194"/>
      <c r="N194"/>
      <c r="O194"/>
      <c r="P194"/>
    </row>
    <row r="195" spans="1:16" x14ac:dyDescent="0.35">
      <c r="A195" s="43">
        <v>39082</v>
      </c>
      <c r="B195" s="1">
        <v>1418.3</v>
      </c>
      <c r="C195" s="17">
        <v>21.99</v>
      </c>
      <c r="D195" s="30">
        <v>20.239999999999998</v>
      </c>
      <c r="E195" s="221"/>
      <c r="F195" s="80">
        <f t="shared" si="13"/>
        <v>16.168490652074784</v>
      </c>
      <c r="G195" s="4">
        <f t="shared" si="14"/>
        <v>17.400318979266348</v>
      </c>
      <c r="I195" s="52">
        <f t="shared" si="15"/>
        <v>87.72</v>
      </c>
      <c r="J195" s="52">
        <f t="shared" si="16"/>
        <v>81.509999999999991</v>
      </c>
      <c r="K195" s="52"/>
    </row>
    <row r="196" spans="1:16" x14ac:dyDescent="0.35">
      <c r="A196" s="43">
        <v>38990</v>
      </c>
      <c r="B196" s="1">
        <v>1335.847</v>
      </c>
      <c r="C196" s="17">
        <v>23.03</v>
      </c>
      <c r="D196" s="17">
        <v>21.47</v>
      </c>
      <c r="E196" s="221"/>
      <c r="F196" s="80">
        <f t="shared" si="13"/>
        <v>15.547567504655493</v>
      </c>
      <c r="G196" s="4">
        <f t="shared" si="14"/>
        <v>17.001998218149421</v>
      </c>
      <c r="I196" s="52">
        <f t="shared" si="15"/>
        <v>85.92</v>
      </c>
      <c r="J196" s="52">
        <f t="shared" si="16"/>
        <v>78.569999999999993</v>
      </c>
      <c r="K196" s="52"/>
    </row>
    <row r="197" spans="1:16" x14ac:dyDescent="0.35">
      <c r="A197" s="43">
        <v>38898</v>
      </c>
      <c r="B197" s="1">
        <v>1270.2</v>
      </c>
      <c r="C197" s="17">
        <v>21.95</v>
      </c>
      <c r="D197" s="17">
        <v>20.11</v>
      </c>
      <c r="E197" s="221"/>
      <c r="F197" s="80">
        <f t="shared" si="13"/>
        <v>15.54141686039398</v>
      </c>
      <c r="G197" s="4">
        <f t="shared" si="14"/>
        <v>17.051953282319776</v>
      </c>
      <c r="I197" s="52">
        <f t="shared" si="15"/>
        <v>81.73</v>
      </c>
      <c r="J197" s="52">
        <f t="shared" si="16"/>
        <v>74.489999999999995</v>
      </c>
      <c r="K197" s="52"/>
    </row>
    <row r="198" spans="1:16" x14ac:dyDescent="0.35">
      <c r="A198" s="43">
        <v>38807</v>
      </c>
      <c r="B198" s="1">
        <v>1294.83</v>
      </c>
      <c r="C198" s="17">
        <v>20.75</v>
      </c>
      <c r="D198" s="17">
        <v>19.690000000000001</v>
      </c>
      <c r="E198" s="221"/>
      <c r="F198" s="80">
        <f t="shared" si="13"/>
        <v>16.348863636363635</v>
      </c>
      <c r="G198" s="4">
        <f t="shared" si="14"/>
        <v>17.817944131003163</v>
      </c>
      <c r="I198" s="52">
        <f t="shared" si="15"/>
        <v>79.2</v>
      </c>
      <c r="J198" s="52">
        <f t="shared" si="16"/>
        <v>72.67</v>
      </c>
      <c r="K198" s="52"/>
    </row>
    <row r="199" spans="1:16" x14ac:dyDescent="0.35">
      <c r="A199" s="43">
        <v>38717</v>
      </c>
      <c r="B199" s="1">
        <v>1248.29</v>
      </c>
      <c r="C199" s="17">
        <v>20.190000000000001</v>
      </c>
      <c r="D199" s="17">
        <v>17.3</v>
      </c>
      <c r="E199" s="221"/>
      <c r="F199" s="80">
        <f t="shared" ref="F199:F230" si="17">B199/I199</f>
        <v>16.328188358404184</v>
      </c>
      <c r="G199" s="4">
        <f t="shared" ref="G199:G230" si="18">B199/J199</f>
        <v>17.850564850564851</v>
      </c>
      <c r="I199" s="52">
        <f t="shared" si="15"/>
        <v>76.45</v>
      </c>
      <c r="J199" s="52">
        <f t="shared" si="16"/>
        <v>69.929999999999993</v>
      </c>
      <c r="K199" s="52"/>
    </row>
    <row r="200" spans="1:16" x14ac:dyDescent="0.35">
      <c r="A200" s="43">
        <v>38625</v>
      </c>
      <c r="B200" s="1">
        <v>1228.81</v>
      </c>
      <c r="C200" s="17">
        <v>18.84</v>
      </c>
      <c r="D200" s="17">
        <v>17.39</v>
      </c>
      <c r="E200" s="221"/>
      <c r="F200" s="80">
        <f t="shared" si="17"/>
        <v>16.558550060638726</v>
      </c>
      <c r="G200" s="4">
        <f t="shared" si="18"/>
        <v>18.458915427369686</v>
      </c>
      <c r="I200" s="52">
        <f t="shared" si="15"/>
        <v>74.210000000000008</v>
      </c>
      <c r="J200" s="52">
        <f t="shared" si="16"/>
        <v>66.569999999999993</v>
      </c>
      <c r="K200" s="52"/>
    </row>
    <row r="201" spans="1:16" x14ac:dyDescent="0.35">
      <c r="A201" s="43">
        <v>38533</v>
      </c>
      <c r="B201" s="4">
        <v>1191.33</v>
      </c>
      <c r="C201" s="17">
        <v>19.420000000000002</v>
      </c>
      <c r="D201" s="17">
        <v>18.29</v>
      </c>
      <c r="E201" s="221"/>
      <c r="F201" s="80">
        <f t="shared" si="17"/>
        <v>16.488996539792385</v>
      </c>
      <c r="G201" s="4">
        <f t="shared" si="18"/>
        <v>18.80255681818182</v>
      </c>
      <c r="I201" s="52">
        <f t="shared" si="15"/>
        <v>72.25</v>
      </c>
      <c r="J201" s="52">
        <f t="shared" si="16"/>
        <v>63.359999999999992</v>
      </c>
      <c r="K201" s="52"/>
    </row>
    <row r="202" spans="1:16" x14ac:dyDescent="0.35">
      <c r="A202" s="43">
        <v>38442</v>
      </c>
      <c r="B202" s="4">
        <v>1180.5899999999999</v>
      </c>
      <c r="C202" s="17">
        <v>18</v>
      </c>
      <c r="D202" s="17">
        <v>16.95</v>
      </c>
      <c r="E202" s="221"/>
      <c r="F202" s="80">
        <f t="shared" si="17"/>
        <v>16.911474000859474</v>
      </c>
      <c r="G202" s="4">
        <f t="shared" si="18"/>
        <v>19.572115384615383</v>
      </c>
      <c r="H202" s="9"/>
      <c r="I202" s="52">
        <f t="shared" si="15"/>
        <v>69.81</v>
      </c>
      <c r="J202" s="52">
        <f t="shared" si="16"/>
        <v>60.32</v>
      </c>
      <c r="K202" s="52"/>
    </row>
    <row r="203" spans="1:16" x14ac:dyDescent="0.35">
      <c r="A203" s="43">
        <v>38352</v>
      </c>
      <c r="B203" s="8">
        <v>1211.92</v>
      </c>
      <c r="C203" s="26">
        <v>17.95</v>
      </c>
      <c r="D203" s="26">
        <v>13.94</v>
      </c>
      <c r="E203" s="221"/>
      <c r="F203" s="80">
        <f t="shared" si="17"/>
        <v>17.90661938534279</v>
      </c>
      <c r="G203" s="4">
        <f t="shared" si="18"/>
        <v>20.698889837745519</v>
      </c>
      <c r="I203" s="52">
        <f t="shared" si="15"/>
        <v>67.680000000000007</v>
      </c>
      <c r="J203" s="52">
        <f t="shared" si="16"/>
        <v>58.55</v>
      </c>
      <c r="K203" s="52"/>
    </row>
    <row r="204" spans="1:16" x14ac:dyDescent="0.35">
      <c r="A204" s="43">
        <v>38260</v>
      </c>
      <c r="B204" s="1">
        <v>1114.58</v>
      </c>
      <c r="C204" s="17">
        <v>16.88</v>
      </c>
      <c r="D204" s="17">
        <v>14.18</v>
      </c>
      <c r="E204" s="221"/>
      <c r="F204" s="80">
        <f t="shared" si="17"/>
        <v>17.250889955115305</v>
      </c>
      <c r="G204" s="4">
        <f t="shared" si="18"/>
        <v>19.293404881426348</v>
      </c>
      <c r="I204" s="52">
        <f t="shared" si="15"/>
        <v>64.61</v>
      </c>
      <c r="J204" s="52">
        <f t="shared" si="16"/>
        <v>57.769999999999996</v>
      </c>
      <c r="K204" s="52"/>
    </row>
    <row r="205" spans="1:16" x14ac:dyDescent="0.35">
      <c r="A205" s="43">
        <v>38168</v>
      </c>
      <c r="B205" s="1">
        <v>1140.8399999999999</v>
      </c>
      <c r="C205" s="17">
        <v>16.98</v>
      </c>
      <c r="D205" s="17">
        <v>15.25</v>
      </c>
      <c r="E205" s="221"/>
      <c r="F205" s="80">
        <f t="shared" si="17"/>
        <v>18.359188928226583</v>
      </c>
      <c r="G205" s="4">
        <f t="shared" si="18"/>
        <v>20.317720391807654</v>
      </c>
      <c r="H205" s="9"/>
      <c r="I205" s="52">
        <f t="shared" si="15"/>
        <v>62.14</v>
      </c>
      <c r="J205" s="52">
        <f t="shared" si="16"/>
        <v>56.150000000000006</v>
      </c>
      <c r="K205" s="52"/>
    </row>
    <row r="206" spans="1:16" x14ac:dyDescent="0.35">
      <c r="A206" s="43">
        <v>38077</v>
      </c>
      <c r="B206" s="8">
        <v>1126.21</v>
      </c>
      <c r="C206" s="26">
        <v>15.87</v>
      </c>
      <c r="D206" s="26">
        <v>15.18</v>
      </c>
      <c r="E206" s="221"/>
      <c r="F206" s="80">
        <f t="shared" si="17"/>
        <v>19.390668044077135</v>
      </c>
      <c r="G206" s="4">
        <f t="shared" si="18"/>
        <v>21.657884615384617</v>
      </c>
      <c r="H206" s="9"/>
      <c r="I206" s="52">
        <f t="shared" si="15"/>
        <v>58.08</v>
      </c>
      <c r="J206" s="52">
        <f t="shared" si="16"/>
        <v>52</v>
      </c>
      <c r="K206" s="52"/>
    </row>
    <row r="207" spans="1:16" x14ac:dyDescent="0.35">
      <c r="A207" s="43">
        <v>37986</v>
      </c>
      <c r="B207" s="8">
        <v>1111.92</v>
      </c>
      <c r="C207" s="26">
        <v>14.88</v>
      </c>
      <c r="D207" s="26">
        <v>13.16</v>
      </c>
      <c r="E207" s="221"/>
      <c r="F207" s="80">
        <f t="shared" si="17"/>
        <v>20.331321996708724</v>
      </c>
      <c r="G207" s="4">
        <f t="shared" si="18"/>
        <v>22.813295034878951</v>
      </c>
      <c r="I207" s="52">
        <f t="shared" si="15"/>
        <v>54.69</v>
      </c>
      <c r="J207" s="52">
        <f t="shared" si="16"/>
        <v>48.74</v>
      </c>
      <c r="K207" s="52"/>
    </row>
    <row r="208" spans="1:16" x14ac:dyDescent="0.35">
      <c r="A208" s="43">
        <v>37894</v>
      </c>
      <c r="B208" s="1">
        <v>995.97</v>
      </c>
      <c r="C208" s="17">
        <v>14.41</v>
      </c>
      <c r="D208" s="17">
        <v>12.56</v>
      </c>
      <c r="E208" s="221"/>
      <c r="F208" s="80">
        <f t="shared" si="17"/>
        <v>19.245797101449277</v>
      </c>
      <c r="G208" s="4">
        <f t="shared" si="18"/>
        <v>25.815707620528773</v>
      </c>
      <c r="H208" s="9"/>
      <c r="I208" s="52">
        <f t="shared" si="15"/>
        <v>51.75</v>
      </c>
      <c r="J208" s="52">
        <f t="shared" si="16"/>
        <v>38.58</v>
      </c>
      <c r="K208" s="52"/>
    </row>
    <row r="209" spans="1:11" x14ac:dyDescent="0.35">
      <c r="A209" s="43">
        <v>37802</v>
      </c>
      <c r="B209" s="8">
        <v>974.5</v>
      </c>
      <c r="C209" s="26">
        <v>12.92</v>
      </c>
      <c r="D209" s="26">
        <v>11.1</v>
      </c>
      <c r="E209" s="221"/>
      <c r="F209" s="80">
        <f t="shared" si="17"/>
        <v>19.908069458631257</v>
      </c>
      <c r="G209" s="4">
        <f t="shared" si="18"/>
        <v>28.205499276411</v>
      </c>
      <c r="I209" s="52">
        <f t="shared" si="15"/>
        <v>48.949999999999996</v>
      </c>
      <c r="J209" s="52">
        <f t="shared" si="16"/>
        <v>34.549999999999997</v>
      </c>
      <c r="K209" s="52"/>
    </row>
    <row r="210" spans="1:11" x14ac:dyDescent="0.35">
      <c r="A210" s="43">
        <v>37711</v>
      </c>
      <c r="B210" s="1">
        <v>848.18</v>
      </c>
      <c r="C210" s="17">
        <v>12.48</v>
      </c>
      <c r="D210" s="17">
        <v>11.92</v>
      </c>
      <c r="E210" s="221"/>
      <c r="F210" s="80">
        <f t="shared" si="17"/>
        <v>17.792741766310048</v>
      </c>
      <c r="G210" s="4">
        <f t="shared" si="18"/>
        <v>27.974274406332452</v>
      </c>
      <c r="I210" s="52">
        <f t="shared" si="15"/>
        <v>47.67</v>
      </c>
      <c r="J210" s="52">
        <f t="shared" si="16"/>
        <v>30.32</v>
      </c>
      <c r="K210" s="52"/>
    </row>
    <row r="211" spans="1:11" x14ac:dyDescent="0.35">
      <c r="A211" s="43">
        <v>37621</v>
      </c>
      <c r="B211" s="1">
        <v>879.82</v>
      </c>
      <c r="C211" s="17">
        <v>11.94</v>
      </c>
      <c r="D211" s="17">
        <v>3</v>
      </c>
      <c r="E211" s="221"/>
      <c r="F211" s="80">
        <f t="shared" si="17"/>
        <v>19.109904430929628</v>
      </c>
      <c r="G211" s="4">
        <f t="shared" si="18"/>
        <v>31.889090250090618</v>
      </c>
      <c r="I211" s="52">
        <f t="shared" ref="I211:I242" si="19">SUM(C211:C214)</f>
        <v>46.04</v>
      </c>
      <c r="J211" s="52">
        <f t="shared" ref="J211:J242" si="20">SUM(D211:D214)</f>
        <v>27.589999999999996</v>
      </c>
      <c r="K211" s="52"/>
    </row>
    <row r="212" spans="1:11" x14ac:dyDescent="0.35">
      <c r="A212" s="43">
        <v>37529</v>
      </c>
      <c r="B212" s="8">
        <v>815.28</v>
      </c>
      <c r="C212" s="17">
        <v>11.61</v>
      </c>
      <c r="D212" s="17">
        <v>8.5299999999999994</v>
      </c>
      <c r="E212" s="221"/>
      <c r="F212" s="80">
        <f t="shared" si="17"/>
        <v>18.51226158038147</v>
      </c>
      <c r="G212" s="4">
        <f t="shared" si="18"/>
        <v>27.139813581890817</v>
      </c>
      <c r="H212" s="9"/>
      <c r="I212" s="52">
        <f t="shared" si="19"/>
        <v>44.04</v>
      </c>
      <c r="J212" s="52">
        <f t="shared" si="20"/>
        <v>30.039999999999996</v>
      </c>
      <c r="K212" s="52"/>
    </row>
    <row r="213" spans="1:11" x14ac:dyDescent="0.35">
      <c r="A213" s="43">
        <v>37437</v>
      </c>
      <c r="B213" s="1">
        <v>989.81</v>
      </c>
      <c r="C213" s="17">
        <v>11.64</v>
      </c>
      <c r="D213" s="17">
        <v>6.87</v>
      </c>
      <c r="E213" s="221"/>
      <c r="F213" s="80">
        <f t="shared" si="17"/>
        <v>23.799230584275062</v>
      </c>
      <c r="G213" s="4">
        <f t="shared" si="18"/>
        <v>37.016080777860886</v>
      </c>
      <c r="I213" s="52">
        <f t="shared" si="19"/>
        <v>41.59</v>
      </c>
      <c r="J213" s="52">
        <f t="shared" si="20"/>
        <v>26.74</v>
      </c>
      <c r="K213" s="52"/>
    </row>
    <row r="214" spans="1:11" x14ac:dyDescent="0.35">
      <c r="A214" s="43">
        <v>37346</v>
      </c>
      <c r="B214" s="1">
        <v>1147.3900000000001</v>
      </c>
      <c r="C214" s="17">
        <v>10.85</v>
      </c>
      <c r="D214" s="17">
        <v>9.19</v>
      </c>
      <c r="E214" s="221"/>
      <c r="F214" s="80">
        <f t="shared" si="17"/>
        <v>29.442904798562999</v>
      </c>
      <c r="G214" s="4">
        <f t="shared" si="18"/>
        <v>46.453036437246965</v>
      </c>
      <c r="I214" s="52">
        <f t="shared" si="19"/>
        <v>38.97</v>
      </c>
      <c r="J214" s="52">
        <f t="shared" si="20"/>
        <v>24.700000000000003</v>
      </c>
      <c r="K214" s="52"/>
    </row>
    <row r="215" spans="1:11" x14ac:dyDescent="0.35">
      <c r="A215" s="43">
        <v>37256</v>
      </c>
      <c r="B215" s="1">
        <v>1148.08</v>
      </c>
      <c r="C215" s="17">
        <v>9.94</v>
      </c>
      <c r="D215" s="17">
        <v>5.45</v>
      </c>
      <c r="E215" s="221"/>
      <c r="F215" s="80">
        <f t="shared" si="17"/>
        <v>29.55160875160875</v>
      </c>
      <c r="G215" s="4">
        <f t="shared" si="18"/>
        <v>46.499797488861887</v>
      </c>
      <c r="I215" s="52">
        <f t="shared" si="19"/>
        <v>38.85</v>
      </c>
      <c r="J215" s="52">
        <f t="shared" si="20"/>
        <v>24.689999999999998</v>
      </c>
      <c r="K215" s="52"/>
    </row>
    <row r="216" spans="1:11" x14ac:dyDescent="0.35">
      <c r="A216" s="43">
        <v>37164</v>
      </c>
      <c r="B216" s="1">
        <v>1040.94</v>
      </c>
      <c r="C216" s="17">
        <v>9.16</v>
      </c>
      <c r="D216" s="17">
        <v>5.23</v>
      </c>
      <c r="E216" s="221"/>
      <c r="F216" s="80">
        <f t="shared" si="17"/>
        <v>24.772489290813901</v>
      </c>
      <c r="G216" s="4">
        <f t="shared" si="18"/>
        <v>36.769339456022607</v>
      </c>
      <c r="I216" s="52">
        <f t="shared" si="19"/>
        <v>42.019999999999996</v>
      </c>
      <c r="J216" s="52">
        <f t="shared" si="20"/>
        <v>28.310000000000002</v>
      </c>
      <c r="K216" s="52"/>
    </row>
    <row r="217" spans="1:11" x14ac:dyDescent="0.35">
      <c r="A217" s="43">
        <v>37072</v>
      </c>
      <c r="B217" s="1">
        <v>1224.3800000000001</v>
      </c>
      <c r="C217" s="17">
        <v>9.02</v>
      </c>
      <c r="D217" s="17">
        <v>4.83</v>
      </c>
      <c r="E217" s="221"/>
      <c r="F217" s="80">
        <f t="shared" si="17"/>
        <v>26.03402083776313</v>
      </c>
      <c r="G217" s="4">
        <f t="shared" si="18"/>
        <v>33.280239195433545</v>
      </c>
      <c r="I217" s="52">
        <f t="shared" si="19"/>
        <v>47.03</v>
      </c>
      <c r="J217" s="52">
        <f t="shared" si="20"/>
        <v>36.79</v>
      </c>
      <c r="K217" s="52"/>
    </row>
    <row r="218" spans="1:11" x14ac:dyDescent="0.35">
      <c r="A218" s="43">
        <v>36981</v>
      </c>
      <c r="B218" s="1">
        <v>1160.33</v>
      </c>
      <c r="C218" s="17">
        <v>10.73</v>
      </c>
      <c r="D218" s="17">
        <v>9.18</v>
      </c>
      <c r="E218" s="221"/>
      <c r="F218" s="80">
        <f t="shared" si="17"/>
        <v>21.938551711098505</v>
      </c>
      <c r="G218" s="4">
        <f t="shared" si="18"/>
        <v>25.535431338028168</v>
      </c>
      <c r="I218" s="52">
        <f t="shared" si="19"/>
        <v>52.89</v>
      </c>
      <c r="J218" s="52">
        <f t="shared" si="20"/>
        <v>45.44</v>
      </c>
      <c r="K218" s="52"/>
    </row>
    <row r="219" spans="1:11" x14ac:dyDescent="0.35">
      <c r="A219" s="43">
        <v>36891</v>
      </c>
      <c r="B219" s="1">
        <v>1320.28</v>
      </c>
      <c r="C219" s="17">
        <v>13.11</v>
      </c>
      <c r="D219" s="17">
        <v>9.07</v>
      </c>
      <c r="E219" s="221"/>
      <c r="F219" s="80">
        <f t="shared" si="17"/>
        <v>23.521824336362016</v>
      </c>
      <c r="G219" s="4">
        <f t="shared" si="18"/>
        <v>26.405599999999996</v>
      </c>
      <c r="I219" s="52">
        <f t="shared" si="19"/>
        <v>56.13</v>
      </c>
      <c r="J219" s="52">
        <f t="shared" si="20"/>
        <v>50.000000000000007</v>
      </c>
      <c r="K219" s="52"/>
    </row>
    <row r="220" spans="1:11" x14ac:dyDescent="0.35">
      <c r="A220" s="43">
        <v>36799</v>
      </c>
      <c r="B220" s="1">
        <v>1436.51</v>
      </c>
      <c r="C220" s="17">
        <v>14.17</v>
      </c>
      <c r="D220" s="17">
        <v>13.71</v>
      </c>
      <c r="E220" s="221"/>
      <c r="F220" s="80">
        <f t="shared" si="17"/>
        <v>25.295122380700825</v>
      </c>
      <c r="G220" s="4">
        <f t="shared" si="18"/>
        <v>26.750651769087522</v>
      </c>
      <c r="I220" s="52">
        <f t="shared" si="19"/>
        <v>56.790000000000006</v>
      </c>
      <c r="J220" s="52">
        <f t="shared" si="20"/>
        <v>53.7</v>
      </c>
      <c r="K220" s="52"/>
    </row>
    <row r="221" spans="1:11" x14ac:dyDescent="0.35">
      <c r="A221" s="43">
        <v>36707</v>
      </c>
      <c r="B221" s="1">
        <v>1454.6</v>
      </c>
      <c r="C221" s="17">
        <v>14.88</v>
      </c>
      <c r="D221" s="17">
        <v>13.48</v>
      </c>
      <c r="E221" s="221"/>
      <c r="F221" s="80">
        <f t="shared" si="17"/>
        <v>26.16657672243209</v>
      </c>
      <c r="G221" s="4">
        <f t="shared" si="18"/>
        <v>28.01617873651772</v>
      </c>
      <c r="I221" s="52">
        <f t="shared" si="19"/>
        <v>55.59</v>
      </c>
      <c r="J221" s="52">
        <f t="shared" si="20"/>
        <v>51.919999999999995</v>
      </c>
      <c r="K221" s="52"/>
    </row>
    <row r="222" spans="1:11" x14ac:dyDescent="0.35">
      <c r="A222" s="43">
        <v>36616</v>
      </c>
      <c r="B222" s="1">
        <v>1498.58</v>
      </c>
      <c r="C222" s="17">
        <v>13.97</v>
      </c>
      <c r="D222" s="17">
        <v>13.74</v>
      </c>
      <c r="E222" s="221"/>
      <c r="F222" s="80">
        <f t="shared" si="17"/>
        <v>27.792655786350146</v>
      </c>
      <c r="G222" s="4">
        <f t="shared" si="18"/>
        <v>29.412757605495585</v>
      </c>
      <c r="I222" s="52">
        <f t="shared" si="19"/>
        <v>53.92</v>
      </c>
      <c r="J222" s="52">
        <f t="shared" si="20"/>
        <v>50.949999999999996</v>
      </c>
      <c r="K222" s="52"/>
    </row>
    <row r="223" spans="1:11" x14ac:dyDescent="0.35">
      <c r="A223" s="43">
        <v>36525</v>
      </c>
      <c r="B223" s="1">
        <v>1469.25</v>
      </c>
      <c r="C223" s="17">
        <v>13.77</v>
      </c>
      <c r="D223" s="17">
        <v>12.77</v>
      </c>
      <c r="E223" s="221"/>
      <c r="F223" s="80">
        <f t="shared" si="17"/>
        <v>28.429760061919502</v>
      </c>
      <c r="G223" s="4">
        <f t="shared" si="18"/>
        <v>30.501349387585634</v>
      </c>
      <c r="I223" s="52">
        <f t="shared" si="19"/>
        <v>51.680000000000007</v>
      </c>
      <c r="J223" s="52">
        <f t="shared" si="20"/>
        <v>48.17</v>
      </c>
      <c r="K223" s="52"/>
    </row>
    <row r="224" spans="1:11" x14ac:dyDescent="0.35">
      <c r="A224" s="43">
        <v>36433</v>
      </c>
      <c r="B224" s="1">
        <v>1282.71</v>
      </c>
      <c r="C224" s="17">
        <v>12.97</v>
      </c>
      <c r="D224" s="17">
        <v>11.93</v>
      </c>
      <c r="E224" s="221"/>
      <c r="F224" s="80">
        <f t="shared" si="17"/>
        <v>25.976306196840831</v>
      </c>
      <c r="G224" s="4">
        <f t="shared" si="18"/>
        <v>29.179026387625115</v>
      </c>
      <c r="I224" s="52">
        <f t="shared" si="19"/>
        <v>49.379999999999995</v>
      </c>
      <c r="J224" s="52">
        <f t="shared" si="20"/>
        <v>43.96</v>
      </c>
      <c r="K224" s="52"/>
    </row>
    <row r="225" spans="1:11" x14ac:dyDescent="0.35">
      <c r="A225" s="43">
        <v>36341</v>
      </c>
      <c r="B225" s="1">
        <v>1372.71</v>
      </c>
      <c r="C225" s="17">
        <v>13.21</v>
      </c>
      <c r="D225" s="17">
        <v>12.51</v>
      </c>
      <c r="E225" s="221"/>
      <c r="F225" s="80">
        <f t="shared" si="17"/>
        <v>29.293854033290653</v>
      </c>
      <c r="G225" s="4">
        <f t="shared" si="18"/>
        <v>33.464407606045832</v>
      </c>
      <c r="I225" s="52">
        <f t="shared" si="19"/>
        <v>46.86</v>
      </c>
      <c r="J225" s="52">
        <f t="shared" si="20"/>
        <v>41.02</v>
      </c>
      <c r="K225" s="52"/>
    </row>
    <row r="226" spans="1:11" x14ac:dyDescent="0.35">
      <c r="A226" s="43">
        <v>36250</v>
      </c>
      <c r="B226" s="1">
        <v>1286.3699999999999</v>
      </c>
      <c r="C226" s="17">
        <v>11.73</v>
      </c>
      <c r="D226" s="17">
        <v>10.96</v>
      </c>
      <c r="E226" s="221"/>
      <c r="F226" s="80">
        <f t="shared" si="17"/>
        <v>28.535270629991121</v>
      </c>
      <c r="G226" s="4">
        <f t="shared" si="18"/>
        <v>33.516675351745697</v>
      </c>
      <c r="I226" s="52">
        <f t="shared" si="19"/>
        <v>45.080000000000005</v>
      </c>
      <c r="J226" s="52">
        <f t="shared" si="20"/>
        <v>38.380000000000003</v>
      </c>
      <c r="K226" s="52"/>
    </row>
    <row r="227" spans="1:11" x14ac:dyDescent="0.35">
      <c r="A227" s="43">
        <v>36160</v>
      </c>
      <c r="B227" s="1">
        <v>1229.23</v>
      </c>
      <c r="C227" s="17">
        <v>11.47</v>
      </c>
      <c r="D227" s="17">
        <v>8.56</v>
      </c>
      <c r="E227" s="221"/>
      <c r="F227" s="80">
        <f t="shared" si="17"/>
        <v>27.766659137113166</v>
      </c>
      <c r="G227" s="4">
        <f t="shared" si="18"/>
        <v>32.596923892866613</v>
      </c>
      <c r="I227" s="52">
        <f t="shared" si="19"/>
        <v>44.27</v>
      </c>
      <c r="J227" s="52">
        <f t="shared" si="20"/>
        <v>37.71</v>
      </c>
      <c r="K227" s="52"/>
    </row>
    <row r="228" spans="1:11" x14ac:dyDescent="0.35">
      <c r="A228" s="43">
        <v>36068</v>
      </c>
      <c r="B228" s="1">
        <v>1017.01</v>
      </c>
      <c r="C228" s="17">
        <v>10.45</v>
      </c>
      <c r="D228" s="17">
        <v>8.99</v>
      </c>
      <c r="E228" s="221"/>
      <c r="F228" s="80">
        <f t="shared" si="17"/>
        <v>23.066681787253348</v>
      </c>
      <c r="G228" s="4">
        <f t="shared" si="18"/>
        <v>26.700183775269103</v>
      </c>
      <c r="I228" s="52">
        <f t="shared" si="19"/>
        <v>44.089999999999996</v>
      </c>
      <c r="J228" s="52">
        <f t="shared" si="20"/>
        <v>38.089999999999996</v>
      </c>
      <c r="K228" s="52"/>
    </row>
    <row r="229" spans="1:11" x14ac:dyDescent="0.35">
      <c r="A229" s="43">
        <v>35976</v>
      </c>
      <c r="B229" s="1">
        <v>1133.8399999999999</v>
      </c>
      <c r="C229" s="17">
        <v>11.43</v>
      </c>
      <c r="D229" s="17">
        <v>9.8699999999999992</v>
      </c>
      <c r="E229" s="221"/>
      <c r="F229" s="80">
        <f t="shared" si="17"/>
        <v>25.382583389299302</v>
      </c>
      <c r="G229" s="4">
        <f t="shared" si="18"/>
        <v>29.095201437002828</v>
      </c>
      <c r="I229" s="52">
        <f t="shared" si="19"/>
        <v>44.67</v>
      </c>
      <c r="J229" s="52">
        <f t="shared" si="20"/>
        <v>38.969999999999992</v>
      </c>
      <c r="K229" s="52"/>
    </row>
    <row r="230" spans="1:11" x14ac:dyDescent="0.35">
      <c r="A230" s="43">
        <v>35885</v>
      </c>
      <c r="B230" s="1">
        <v>1101.75</v>
      </c>
      <c r="C230" s="17">
        <v>10.92</v>
      </c>
      <c r="D230" s="17">
        <v>10.29</v>
      </c>
      <c r="E230" s="221"/>
      <c r="F230" s="80">
        <f t="shared" si="17"/>
        <v>24.830966869506419</v>
      </c>
      <c r="G230" s="4">
        <f t="shared" si="18"/>
        <v>27.86418816388468</v>
      </c>
      <c r="I230" s="52">
        <f t="shared" si="19"/>
        <v>44.370000000000005</v>
      </c>
      <c r="J230" s="52">
        <f t="shared" si="20"/>
        <v>39.539999999999992</v>
      </c>
      <c r="K230" s="52"/>
    </row>
    <row r="231" spans="1:11" x14ac:dyDescent="0.35">
      <c r="A231" s="43">
        <v>35795</v>
      </c>
      <c r="B231" s="1">
        <v>970.43</v>
      </c>
      <c r="C231" s="17">
        <v>11.29</v>
      </c>
      <c r="D231" s="17">
        <v>8.94</v>
      </c>
      <c r="E231" s="221"/>
      <c r="F231" s="80">
        <f t="shared" ref="F231:F267" si="21">B231/I231</f>
        <v>22.050215860031809</v>
      </c>
      <c r="G231" s="4">
        <f t="shared" ref="G231:G267" si="22">B231/J231</f>
        <v>24.431772406847934</v>
      </c>
      <c r="I231" s="52">
        <f t="shared" si="19"/>
        <v>44.010000000000005</v>
      </c>
      <c r="J231" s="52">
        <f t="shared" si="20"/>
        <v>39.72</v>
      </c>
      <c r="K231" s="52"/>
    </row>
    <row r="232" spans="1:11" x14ac:dyDescent="0.35">
      <c r="A232" s="43">
        <v>35703</v>
      </c>
      <c r="B232" s="1">
        <v>947.28</v>
      </c>
      <c r="C232" s="17">
        <v>11.03</v>
      </c>
      <c r="D232" s="17">
        <v>9.8699999999999992</v>
      </c>
      <c r="E232" s="221"/>
      <c r="F232" s="80">
        <f t="shared" si="21"/>
        <v>21.662016922021497</v>
      </c>
      <c r="G232" s="4">
        <f t="shared" si="22"/>
        <v>23.309055118110233</v>
      </c>
      <c r="I232" s="52">
        <f t="shared" si="19"/>
        <v>43.73</v>
      </c>
      <c r="J232" s="52">
        <f t="shared" si="20"/>
        <v>40.64</v>
      </c>
      <c r="K232" s="52"/>
    </row>
    <row r="233" spans="1:11" x14ac:dyDescent="0.35">
      <c r="A233" s="43">
        <v>35611</v>
      </c>
      <c r="B233" s="1">
        <v>885.14</v>
      </c>
      <c r="C233" s="17">
        <v>11.13</v>
      </c>
      <c r="D233" s="17">
        <v>10.44</v>
      </c>
      <c r="E233" s="221"/>
      <c r="F233" s="80">
        <f t="shared" si="21"/>
        <v>20.768183951196619</v>
      </c>
      <c r="G233" s="4">
        <f t="shared" si="22"/>
        <v>21.828360049321827</v>
      </c>
      <c r="I233" s="52">
        <f t="shared" si="19"/>
        <v>42.620000000000005</v>
      </c>
      <c r="J233" s="52">
        <f t="shared" si="20"/>
        <v>40.549999999999997</v>
      </c>
      <c r="K233" s="52"/>
    </row>
    <row r="234" spans="1:11" x14ac:dyDescent="0.35">
      <c r="A234" s="43">
        <v>35520</v>
      </c>
      <c r="B234" s="1">
        <v>757.12</v>
      </c>
      <c r="C234" s="17">
        <v>10.56</v>
      </c>
      <c r="D234" s="17">
        <v>10.47</v>
      </c>
      <c r="E234" s="221"/>
      <c r="F234" s="80">
        <f t="shared" si="21"/>
        <v>18.112918660287079</v>
      </c>
      <c r="G234" s="4">
        <f t="shared" si="22"/>
        <v>18.815109343936381</v>
      </c>
      <c r="I234" s="52">
        <f t="shared" si="19"/>
        <v>41.800000000000004</v>
      </c>
      <c r="J234" s="52">
        <f t="shared" si="20"/>
        <v>40.24</v>
      </c>
      <c r="K234" s="52"/>
    </row>
    <row r="235" spans="1:11" x14ac:dyDescent="0.35">
      <c r="A235" s="43">
        <v>35430</v>
      </c>
      <c r="B235" s="1">
        <v>740.74</v>
      </c>
      <c r="C235" s="17">
        <v>11.01</v>
      </c>
      <c r="D235" s="17">
        <v>9.86</v>
      </c>
      <c r="E235" s="221"/>
      <c r="F235" s="80">
        <f t="shared" si="21"/>
        <v>18.231356140782673</v>
      </c>
      <c r="G235" s="4">
        <f t="shared" si="22"/>
        <v>19.125742318616059</v>
      </c>
      <c r="I235" s="52">
        <f t="shared" si="19"/>
        <v>40.630000000000003</v>
      </c>
      <c r="J235" s="52">
        <f t="shared" si="20"/>
        <v>38.730000000000004</v>
      </c>
      <c r="K235" s="52"/>
    </row>
    <row r="236" spans="1:11" x14ac:dyDescent="0.35">
      <c r="A236" s="43">
        <v>35338</v>
      </c>
      <c r="B236" s="1">
        <v>687.33</v>
      </c>
      <c r="C236" s="17">
        <v>9.92</v>
      </c>
      <c r="D236" s="17">
        <v>9.7799999999999994</v>
      </c>
      <c r="E236" s="221"/>
      <c r="F236" s="80">
        <f t="shared" si="21"/>
        <v>17.444923857868023</v>
      </c>
      <c r="G236" s="4">
        <f t="shared" si="22"/>
        <v>19.092500000000001</v>
      </c>
      <c r="I236" s="52">
        <f t="shared" si="19"/>
        <v>39.4</v>
      </c>
      <c r="J236" s="52">
        <f t="shared" si="20"/>
        <v>36</v>
      </c>
      <c r="K236" s="52"/>
    </row>
    <row r="237" spans="1:11" x14ac:dyDescent="0.35">
      <c r="A237" s="43">
        <v>35246</v>
      </c>
      <c r="B237" s="1">
        <v>670.63</v>
      </c>
      <c r="C237" s="17">
        <v>10.31</v>
      </c>
      <c r="D237" s="17">
        <v>10.130000000000001</v>
      </c>
      <c r="E237" s="221"/>
      <c r="F237" s="80">
        <f t="shared" si="21"/>
        <v>17.081762608252671</v>
      </c>
      <c r="G237" s="4">
        <f t="shared" si="22"/>
        <v>19.210254941277569</v>
      </c>
      <c r="I237" s="52">
        <f t="shared" si="19"/>
        <v>39.260000000000005</v>
      </c>
      <c r="J237" s="52">
        <f t="shared" si="20"/>
        <v>34.910000000000004</v>
      </c>
      <c r="K237" s="52"/>
    </row>
    <row r="238" spans="1:11" x14ac:dyDescent="0.35">
      <c r="A238" s="43">
        <v>35155</v>
      </c>
      <c r="B238" s="1">
        <v>645.5</v>
      </c>
      <c r="C238" s="17">
        <v>9.39</v>
      </c>
      <c r="D238" s="17">
        <v>8.9600000000000009</v>
      </c>
      <c r="E238" s="221"/>
      <c r="F238" s="80">
        <f t="shared" si="21"/>
        <v>16.788036410923276</v>
      </c>
      <c r="G238" s="4">
        <f t="shared" si="22"/>
        <v>18.962984723854291</v>
      </c>
      <c r="I238" s="52">
        <f t="shared" si="19"/>
        <v>38.450000000000003</v>
      </c>
      <c r="J238" s="52">
        <f t="shared" si="20"/>
        <v>34.04</v>
      </c>
      <c r="K238" s="52"/>
    </row>
    <row r="239" spans="1:11" x14ac:dyDescent="0.35">
      <c r="A239" s="43">
        <v>35064</v>
      </c>
      <c r="B239" s="1">
        <v>615.92999999999995</v>
      </c>
      <c r="C239" s="17">
        <v>9.7799999999999994</v>
      </c>
      <c r="D239" s="17">
        <v>7.13</v>
      </c>
      <c r="E239" s="221"/>
      <c r="F239" s="80">
        <f t="shared" si="21"/>
        <v>16.337665782493367</v>
      </c>
      <c r="G239" s="4">
        <f t="shared" si="22"/>
        <v>18.136925795053003</v>
      </c>
      <c r="I239" s="52">
        <f t="shared" si="19"/>
        <v>37.700000000000003</v>
      </c>
      <c r="J239" s="52">
        <f t="shared" si="20"/>
        <v>33.96</v>
      </c>
      <c r="K239" s="52"/>
    </row>
    <row r="240" spans="1:11" x14ac:dyDescent="0.35">
      <c r="A240" s="43">
        <v>34972</v>
      </c>
      <c r="B240" s="1">
        <v>584.41</v>
      </c>
      <c r="C240" s="17">
        <v>9.7799999999999994</v>
      </c>
      <c r="D240" s="17">
        <v>8.69</v>
      </c>
      <c r="E240" s="221"/>
      <c r="F240" s="80">
        <f t="shared" si="21"/>
        <v>15.915305010893245</v>
      </c>
      <c r="G240" s="4">
        <f t="shared" si="22"/>
        <v>16.611995451961342</v>
      </c>
      <c r="I240" s="52">
        <f t="shared" si="19"/>
        <v>36.72</v>
      </c>
      <c r="J240" s="52">
        <f t="shared" si="20"/>
        <v>35.18</v>
      </c>
      <c r="K240" s="52"/>
    </row>
    <row r="241" spans="1:11" x14ac:dyDescent="0.35">
      <c r="A241" s="43">
        <v>34880</v>
      </c>
      <c r="B241" s="1">
        <v>544.75</v>
      </c>
      <c r="C241" s="17">
        <v>9.5</v>
      </c>
      <c r="D241" s="17">
        <v>9.26</v>
      </c>
      <c r="E241" s="221"/>
      <c r="F241" s="80">
        <f t="shared" si="21"/>
        <v>15.577637975407493</v>
      </c>
      <c r="G241" s="4">
        <f t="shared" si="22"/>
        <v>15.821957595120535</v>
      </c>
      <c r="I241" s="52">
        <f t="shared" si="19"/>
        <v>34.97</v>
      </c>
      <c r="J241" s="52">
        <f t="shared" si="20"/>
        <v>34.43</v>
      </c>
      <c r="K241" s="52"/>
    </row>
    <row r="242" spans="1:11" x14ac:dyDescent="0.35">
      <c r="A242" s="43">
        <v>34789</v>
      </c>
      <c r="B242" s="1">
        <v>500.71</v>
      </c>
      <c r="C242" s="17">
        <v>8.64</v>
      </c>
      <c r="D242" s="17">
        <v>8.8800000000000008</v>
      </c>
      <c r="E242" s="221"/>
      <c r="F242" s="80">
        <f t="shared" si="21"/>
        <v>15.072546658639373</v>
      </c>
      <c r="G242" s="4">
        <f t="shared" si="22"/>
        <v>15.382795698924729</v>
      </c>
      <c r="I242" s="52">
        <f t="shared" si="19"/>
        <v>33.22</v>
      </c>
      <c r="J242" s="52">
        <f t="shared" si="20"/>
        <v>32.550000000000004</v>
      </c>
      <c r="K242" s="52"/>
    </row>
    <row r="243" spans="1:11" x14ac:dyDescent="0.35">
      <c r="A243" s="43">
        <v>34699</v>
      </c>
      <c r="B243" s="1">
        <v>459.27</v>
      </c>
      <c r="C243" s="17">
        <v>8.8000000000000007</v>
      </c>
      <c r="D243" s="17">
        <v>8.35</v>
      </c>
      <c r="E243" s="221"/>
      <c r="F243" s="80">
        <f t="shared" si="21"/>
        <v>14.465196850393701</v>
      </c>
      <c r="G243" s="4">
        <f t="shared" si="22"/>
        <v>15.008823529411766</v>
      </c>
      <c r="I243" s="52">
        <f t="shared" ref="I243:I267" si="23">SUM(C243:C246)</f>
        <v>31.75</v>
      </c>
      <c r="J243" s="52">
        <f t="shared" ref="J243:J267" si="24">SUM(D243:D246)</f>
        <v>30.599999999999998</v>
      </c>
      <c r="K243" s="52"/>
    </row>
    <row r="244" spans="1:11" x14ac:dyDescent="0.35">
      <c r="A244" s="43">
        <v>34607</v>
      </c>
      <c r="B244" s="1">
        <v>462.71</v>
      </c>
      <c r="C244" s="17">
        <v>8.0299999999999994</v>
      </c>
      <c r="D244" s="17">
        <v>7.94</v>
      </c>
      <c r="E244" s="221"/>
      <c r="F244" s="80">
        <f t="shared" si="21"/>
        <v>15.3673198272999</v>
      </c>
      <c r="G244" s="4">
        <f t="shared" si="22"/>
        <v>16.930479326747164</v>
      </c>
      <c r="I244" s="52">
        <f t="shared" si="23"/>
        <v>30.11</v>
      </c>
      <c r="J244" s="52">
        <f t="shared" si="24"/>
        <v>27.33</v>
      </c>
      <c r="K244" s="52"/>
    </row>
    <row r="245" spans="1:11" x14ac:dyDescent="0.35">
      <c r="A245" s="43">
        <v>34515</v>
      </c>
      <c r="B245" s="1">
        <v>444.27</v>
      </c>
      <c r="C245" s="17">
        <v>7.75</v>
      </c>
      <c r="D245" s="17">
        <v>7.38</v>
      </c>
      <c r="E245" s="221"/>
      <c r="F245" s="80">
        <f t="shared" si="21"/>
        <v>15.319655172413793</v>
      </c>
      <c r="G245" s="4">
        <f t="shared" si="22"/>
        <v>17.629761904761903</v>
      </c>
      <c r="I245" s="52">
        <f t="shared" si="23"/>
        <v>29</v>
      </c>
      <c r="J245" s="52">
        <f t="shared" si="24"/>
        <v>25.2</v>
      </c>
      <c r="K245" s="52"/>
    </row>
    <row r="246" spans="1:11" x14ac:dyDescent="0.35">
      <c r="A246" s="43">
        <v>34424</v>
      </c>
      <c r="B246" s="1">
        <v>445.77</v>
      </c>
      <c r="C246" s="17">
        <v>7.17</v>
      </c>
      <c r="D246" s="17">
        <v>6.93</v>
      </c>
      <c r="E246" s="221"/>
      <c r="F246" s="80">
        <f t="shared" si="21"/>
        <v>16.023364485981308</v>
      </c>
      <c r="G246" s="4">
        <f t="shared" si="22"/>
        <v>19.628797886393659</v>
      </c>
      <c r="I246" s="52">
        <f t="shared" si="23"/>
        <v>27.82</v>
      </c>
      <c r="J246" s="52">
        <f t="shared" si="24"/>
        <v>22.71</v>
      </c>
      <c r="K246" s="52"/>
    </row>
    <row r="247" spans="1:11" x14ac:dyDescent="0.35">
      <c r="A247" s="43">
        <v>34334</v>
      </c>
      <c r="B247" s="1">
        <v>466.45</v>
      </c>
      <c r="C247" s="17">
        <v>7.16</v>
      </c>
      <c r="D247" s="17">
        <v>5.08</v>
      </c>
      <c r="E247" s="221"/>
      <c r="F247" s="80">
        <f t="shared" si="21"/>
        <v>17.340148698884757</v>
      </c>
      <c r="G247" s="4">
        <f t="shared" si="22"/>
        <v>21.308816811329372</v>
      </c>
      <c r="I247" s="52">
        <f t="shared" si="23"/>
        <v>26.9</v>
      </c>
      <c r="J247" s="52">
        <f t="shared" si="24"/>
        <v>21.89</v>
      </c>
      <c r="K247" s="52"/>
    </row>
    <row r="248" spans="1:11" x14ac:dyDescent="0.35">
      <c r="A248" s="43">
        <v>34242</v>
      </c>
      <c r="B248" s="1">
        <v>458.93</v>
      </c>
      <c r="C248" s="17">
        <v>6.92</v>
      </c>
      <c r="D248" s="17">
        <v>5.81</v>
      </c>
      <c r="E248" s="221"/>
      <c r="F248" s="80">
        <f t="shared" si="21"/>
        <v>18.103747534516764</v>
      </c>
      <c r="G248" s="4">
        <f t="shared" si="22"/>
        <v>22.485546300832926</v>
      </c>
      <c r="I248" s="52">
        <f t="shared" si="23"/>
        <v>25.35</v>
      </c>
      <c r="J248" s="52">
        <f t="shared" si="24"/>
        <v>20.41</v>
      </c>
      <c r="K248" s="52"/>
    </row>
    <row r="249" spans="1:11" x14ac:dyDescent="0.35">
      <c r="A249" s="43">
        <v>34150</v>
      </c>
      <c r="B249" s="1">
        <v>450.53</v>
      </c>
      <c r="C249" s="17">
        <v>6.57</v>
      </c>
      <c r="D249" s="17">
        <v>4.8899999999999997</v>
      </c>
      <c r="E249" s="221"/>
      <c r="F249" s="80">
        <f t="shared" si="21"/>
        <v>19.130785562632695</v>
      </c>
      <c r="G249" s="4">
        <f t="shared" si="22"/>
        <v>23.307294361096741</v>
      </c>
      <c r="I249" s="52">
        <f t="shared" si="23"/>
        <v>23.55</v>
      </c>
      <c r="J249" s="52">
        <f t="shared" si="24"/>
        <v>19.329999999999998</v>
      </c>
      <c r="K249" s="52"/>
    </row>
    <row r="250" spans="1:11" x14ac:dyDescent="0.35">
      <c r="A250" s="43">
        <v>34059</v>
      </c>
      <c r="B250" s="1">
        <v>451.67</v>
      </c>
      <c r="C250" s="17">
        <v>6.25</v>
      </c>
      <c r="D250" s="17">
        <v>6.11</v>
      </c>
      <c r="E250" s="221"/>
      <c r="F250" s="80">
        <f t="shared" si="21"/>
        <v>20.354664263181611</v>
      </c>
      <c r="G250" s="4">
        <f t="shared" si="22"/>
        <v>22.765624999999996</v>
      </c>
      <c r="I250" s="52">
        <f t="shared" si="23"/>
        <v>22.19</v>
      </c>
      <c r="J250" s="52">
        <f t="shared" si="24"/>
        <v>19.840000000000003</v>
      </c>
      <c r="K250" s="52"/>
    </row>
    <row r="251" spans="1:11" x14ac:dyDescent="0.35">
      <c r="A251" s="43">
        <v>33969</v>
      </c>
      <c r="B251" s="1">
        <v>435.71</v>
      </c>
      <c r="C251" s="17">
        <v>5.61</v>
      </c>
      <c r="D251" s="17">
        <v>3.6</v>
      </c>
      <c r="E251" s="221"/>
      <c r="F251" s="80">
        <f t="shared" si="21"/>
        <v>20.877335888835646</v>
      </c>
      <c r="G251" s="4">
        <f t="shared" si="22"/>
        <v>22.823991618648506</v>
      </c>
      <c r="I251" s="52">
        <f t="shared" si="23"/>
        <v>20.87</v>
      </c>
      <c r="J251" s="52">
        <f t="shared" si="24"/>
        <v>19.09</v>
      </c>
      <c r="K251" s="52"/>
    </row>
    <row r="252" spans="1:11" x14ac:dyDescent="0.35">
      <c r="A252" s="43">
        <v>33877</v>
      </c>
      <c r="B252" s="1">
        <v>417.8</v>
      </c>
      <c r="C252" s="17">
        <v>5.12</v>
      </c>
      <c r="D252" s="17">
        <v>4.7300000000000004</v>
      </c>
      <c r="E252" s="221"/>
      <c r="F252" s="80">
        <f t="shared" si="21"/>
        <v>21.005530417295123</v>
      </c>
      <c r="G252" s="4">
        <f t="shared" si="22"/>
        <v>23.159645232815961</v>
      </c>
      <c r="I252" s="52">
        <f t="shared" si="23"/>
        <v>19.89</v>
      </c>
      <c r="J252" s="52">
        <f t="shared" si="24"/>
        <v>18.040000000000003</v>
      </c>
      <c r="K252" s="52"/>
    </row>
    <row r="253" spans="1:11" x14ac:dyDescent="0.35">
      <c r="A253" s="43">
        <v>33785</v>
      </c>
      <c r="B253" s="1">
        <v>408.14</v>
      </c>
      <c r="C253" s="17">
        <v>5.21</v>
      </c>
      <c r="D253" s="17">
        <v>5.4</v>
      </c>
      <c r="E253" s="221"/>
      <c r="F253" s="80">
        <f t="shared" si="21"/>
        <v>20.530181086519114</v>
      </c>
      <c r="G253" s="4">
        <f t="shared" si="22"/>
        <v>23.937829912023453</v>
      </c>
      <c r="I253" s="52">
        <f t="shared" si="23"/>
        <v>19.88</v>
      </c>
      <c r="J253" s="52">
        <f t="shared" si="24"/>
        <v>17.050000000000004</v>
      </c>
      <c r="K253" s="52"/>
    </row>
    <row r="254" spans="1:11" x14ac:dyDescent="0.35">
      <c r="A254" s="43">
        <v>33694</v>
      </c>
      <c r="B254" s="1">
        <v>403.69</v>
      </c>
      <c r="C254" s="17">
        <v>4.93</v>
      </c>
      <c r="D254" s="17">
        <v>5.36</v>
      </c>
      <c r="E254" s="221"/>
      <c r="F254" s="80">
        <f t="shared" si="21"/>
        <v>20.744604316546766</v>
      </c>
      <c r="G254" s="4">
        <f t="shared" si="22"/>
        <v>24.934527486102532</v>
      </c>
      <c r="I254" s="52">
        <f t="shared" si="23"/>
        <v>19.459999999999997</v>
      </c>
      <c r="J254" s="52">
        <f t="shared" si="24"/>
        <v>16.190000000000001</v>
      </c>
      <c r="K254" s="52"/>
    </row>
    <row r="255" spans="1:11" x14ac:dyDescent="0.35">
      <c r="A255" s="43">
        <v>33603</v>
      </c>
      <c r="B255" s="1">
        <v>417.09</v>
      </c>
      <c r="C255" s="17">
        <v>4.63</v>
      </c>
      <c r="D255" s="17">
        <v>2.5499999999999998</v>
      </c>
      <c r="E255" s="221"/>
      <c r="F255" s="80">
        <f t="shared" si="21"/>
        <v>21.610880829015542</v>
      </c>
      <c r="G255" s="4">
        <f t="shared" si="22"/>
        <v>26.117094552285536</v>
      </c>
      <c r="I255" s="52">
        <f t="shared" si="23"/>
        <v>19.3</v>
      </c>
      <c r="J255" s="52">
        <f t="shared" si="24"/>
        <v>15.969999999999999</v>
      </c>
      <c r="K255" s="52"/>
    </row>
    <row r="256" spans="1:11" x14ac:dyDescent="0.35">
      <c r="A256" s="43">
        <v>33511</v>
      </c>
      <c r="B256" s="1">
        <v>387.86</v>
      </c>
      <c r="C256" s="17">
        <v>5.1100000000000003</v>
      </c>
      <c r="D256" s="17">
        <v>3.74</v>
      </c>
      <c r="E256" s="221"/>
      <c r="F256" s="80">
        <f t="shared" si="21"/>
        <v>19.708333333333336</v>
      </c>
      <c r="G256" s="4">
        <f t="shared" si="22"/>
        <v>21.765432098765434</v>
      </c>
      <c r="I256" s="52">
        <f t="shared" si="23"/>
        <v>19.68</v>
      </c>
      <c r="J256" s="52">
        <f t="shared" si="24"/>
        <v>17.82</v>
      </c>
      <c r="K256" s="52"/>
    </row>
    <row r="257" spans="1:16" x14ac:dyDescent="0.35">
      <c r="A257" s="43">
        <v>33419</v>
      </c>
      <c r="B257" s="1">
        <v>371.16</v>
      </c>
      <c r="C257" s="17">
        <v>4.79</v>
      </c>
      <c r="D257" s="17">
        <v>4.54</v>
      </c>
      <c r="E257" s="221"/>
      <c r="F257" s="80">
        <f t="shared" si="21"/>
        <v>18.070107108081793</v>
      </c>
      <c r="G257" s="4">
        <f t="shared" si="22"/>
        <v>19.122102009273572</v>
      </c>
      <c r="I257" s="52">
        <f t="shared" si="23"/>
        <v>20.54</v>
      </c>
      <c r="J257" s="52">
        <f t="shared" si="24"/>
        <v>19.41</v>
      </c>
      <c r="K257" s="52"/>
    </row>
    <row r="258" spans="1:16" x14ac:dyDescent="0.35">
      <c r="A258" s="43">
        <v>33328</v>
      </c>
      <c r="B258" s="1">
        <v>375.22</v>
      </c>
      <c r="C258" s="17">
        <v>4.7699999999999996</v>
      </c>
      <c r="D258" s="17">
        <v>5.14</v>
      </c>
      <c r="E258" s="221"/>
      <c r="F258" s="80">
        <f t="shared" si="21"/>
        <v>17.204034846400734</v>
      </c>
      <c r="G258" s="4">
        <f t="shared" si="22"/>
        <v>17.91881566380134</v>
      </c>
      <c r="I258" s="52">
        <f t="shared" si="23"/>
        <v>21.81</v>
      </c>
      <c r="J258" s="52">
        <f t="shared" si="24"/>
        <v>20.939999999999998</v>
      </c>
      <c r="K258" s="52"/>
    </row>
    <row r="259" spans="1:16" x14ac:dyDescent="0.35">
      <c r="A259" s="43">
        <v>33238</v>
      </c>
      <c r="B259" s="1">
        <v>330.22</v>
      </c>
      <c r="C259" s="17">
        <v>5.01</v>
      </c>
      <c r="D259" s="17">
        <v>4.4000000000000004</v>
      </c>
      <c r="E259" s="221"/>
      <c r="F259" s="80">
        <f t="shared" si="21"/>
        <v>14.579249448123623</v>
      </c>
      <c r="G259" s="4">
        <f t="shared" si="22"/>
        <v>15.474226804123713</v>
      </c>
      <c r="I259" s="52">
        <f t="shared" si="23"/>
        <v>22.65</v>
      </c>
      <c r="J259" s="52">
        <f t="shared" si="24"/>
        <v>21.34</v>
      </c>
      <c r="K259" s="52"/>
    </row>
    <row r="260" spans="1:16" x14ac:dyDescent="0.35">
      <c r="A260" s="43">
        <v>33146</v>
      </c>
      <c r="B260" s="1">
        <v>306.05</v>
      </c>
      <c r="C260" s="17">
        <v>5.97</v>
      </c>
      <c r="D260" s="17">
        <v>5.33</v>
      </c>
      <c r="E260" s="221"/>
      <c r="F260" s="80">
        <f t="shared" si="21"/>
        <v>13.034497444633731</v>
      </c>
      <c r="G260" s="4">
        <f t="shared" si="22"/>
        <v>14.077736890524378</v>
      </c>
      <c r="I260" s="52">
        <f t="shared" si="23"/>
        <v>23.48</v>
      </c>
      <c r="J260" s="52">
        <f t="shared" si="24"/>
        <v>21.740000000000002</v>
      </c>
      <c r="K260" s="52"/>
      <c r="L260" s="16"/>
      <c r="M260" s="16"/>
    </row>
    <row r="261" spans="1:16" x14ac:dyDescent="0.35">
      <c r="A261" s="43">
        <v>33054</v>
      </c>
      <c r="B261" s="1">
        <v>358.02</v>
      </c>
      <c r="C261" s="17">
        <v>6.06</v>
      </c>
      <c r="D261" s="17">
        <v>6.07</v>
      </c>
      <c r="E261" s="221"/>
      <c r="F261" s="80">
        <f t="shared" si="21"/>
        <v>15.532321041214752</v>
      </c>
      <c r="G261" s="4">
        <f t="shared" si="22"/>
        <v>16.840075258701788</v>
      </c>
      <c r="I261" s="52">
        <f t="shared" si="23"/>
        <v>23.049999999999997</v>
      </c>
      <c r="J261" s="52">
        <f t="shared" si="24"/>
        <v>21.259999999999998</v>
      </c>
      <c r="K261" s="52"/>
      <c r="L261" s="16"/>
      <c r="M261" s="16"/>
      <c r="N261" s="16"/>
      <c r="O261" s="16"/>
      <c r="P261" s="16"/>
    </row>
    <row r="262" spans="1:16" s="16" customFormat="1" x14ac:dyDescent="0.35">
      <c r="A262" s="43">
        <v>32963</v>
      </c>
      <c r="B262" s="1">
        <v>339.94</v>
      </c>
      <c r="C262" s="17">
        <v>5.61</v>
      </c>
      <c r="D262" s="17">
        <v>5.54</v>
      </c>
      <c r="E262" s="221"/>
      <c r="F262" s="80">
        <f t="shared" si="21"/>
        <v>14.453231292517007</v>
      </c>
      <c r="G262" s="4">
        <f t="shared" si="22"/>
        <v>15.687125057683431</v>
      </c>
      <c r="H262"/>
      <c r="I262" s="52">
        <f t="shared" si="23"/>
        <v>23.52</v>
      </c>
      <c r="J262" s="52">
        <f t="shared" si="24"/>
        <v>21.67</v>
      </c>
      <c r="K262" s="52"/>
      <c r="L262"/>
      <c r="M262"/>
    </row>
    <row r="263" spans="1:16" s="16" customFormat="1" x14ac:dyDescent="0.35">
      <c r="A263" s="43">
        <v>32873</v>
      </c>
      <c r="B263" s="1">
        <v>353.4</v>
      </c>
      <c r="C263" s="17">
        <v>5.84</v>
      </c>
      <c r="D263" s="17">
        <v>4.8</v>
      </c>
      <c r="E263" s="221"/>
      <c r="F263" s="80">
        <f t="shared" si="21"/>
        <v>14.531249999999998</v>
      </c>
      <c r="G263" s="4">
        <f t="shared" si="22"/>
        <v>15.452557936160909</v>
      </c>
      <c r="H263"/>
      <c r="I263" s="52">
        <f t="shared" si="23"/>
        <v>24.32</v>
      </c>
      <c r="J263" s="52">
        <f t="shared" si="24"/>
        <v>22.869999999999997</v>
      </c>
      <c r="K263" s="52"/>
      <c r="L263"/>
      <c r="M263"/>
      <c r="N263"/>
      <c r="O263"/>
      <c r="P263"/>
    </row>
    <row r="264" spans="1:16" x14ac:dyDescent="0.35">
      <c r="A264" s="43">
        <v>32781</v>
      </c>
      <c r="B264" s="1">
        <v>349.15</v>
      </c>
      <c r="C264" s="17">
        <v>5.54</v>
      </c>
      <c r="D264" s="17">
        <v>4.8499999999999996</v>
      </c>
      <c r="E264" s="221"/>
      <c r="F264" s="80">
        <f t="shared" si="21"/>
        <v>14.050301810865189</v>
      </c>
      <c r="G264" s="4">
        <f t="shared" si="22"/>
        <v>14.73828619670747</v>
      </c>
      <c r="I264" s="52">
        <f t="shared" si="23"/>
        <v>24.85</v>
      </c>
      <c r="J264" s="52">
        <f t="shared" si="24"/>
        <v>23.69</v>
      </c>
      <c r="K264" s="52"/>
    </row>
    <row r="265" spans="1:16" x14ac:dyDescent="0.35">
      <c r="A265" s="43">
        <v>32689</v>
      </c>
      <c r="B265" s="1">
        <v>317.98</v>
      </c>
      <c r="C265" s="17">
        <v>6.53</v>
      </c>
      <c r="D265" s="17">
        <v>6.48</v>
      </c>
      <c r="E265" s="221"/>
      <c r="F265" s="80">
        <f t="shared" si="21"/>
        <v>12.45515080297689</v>
      </c>
      <c r="G265" s="4">
        <f t="shared" si="22"/>
        <v>12.608247422680414</v>
      </c>
      <c r="I265" s="52">
        <f t="shared" si="23"/>
        <v>25.53</v>
      </c>
      <c r="J265" s="52">
        <f t="shared" si="24"/>
        <v>25.22</v>
      </c>
      <c r="K265" s="52"/>
    </row>
    <row r="266" spans="1:16" x14ac:dyDescent="0.35">
      <c r="A266" s="43">
        <v>32598</v>
      </c>
      <c r="B266" s="1">
        <v>294.87</v>
      </c>
      <c r="C266" s="17">
        <v>6.41</v>
      </c>
      <c r="D266" s="17">
        <v>6.74</v>
      </c>
      <c r="E266" s="221"/>
      <c r="F266" s="80">
        <f t="shared" si="21"/>
        <v>11.77125748502994</v>
      </c>
      <c r="G266" s="4">
        <f t="shared" si="22"/>
        <v>11.813701923076925</v>
      </c>
      <c r="I266" s="52">
        <f t="shared" si="23"/>
        <v>25.05</v>
      </c>
      <c r="J266" s="52">
        <f t="shared" si="24"/>
        <v>24.959999999999997</v>
      </c>
      <c r="K266" s="52"/>
    </row>
    <row r="267" spans="1:16" x14ac:dyDescent="0.35">
      <c r="A267" s="43">
        <v>32508</v>
      </c>
      <c r="B267" s="1">
        <v>277.72000000000003</v>
      </c>
      <c r="C267" s="17">
        <v>6.37</v>
      </c>
      <c r="D267" s="17">
        <v>5.62</v>
      </c>
      <c r="E267" s="221"/>
      <c r="F267" s="80">
        <f t="shared" si="21"/>
        <v>11.514096185737978</v>
      </c>
      <c r="G267" s="4">
        <f t="shared" si="22"/>
        <v>11.693473684210527</v>
      </c>
      <c r="I267" s="52">
        <f t="shared" si="23"/>
        <v>24.12</v>
      </c>
      <c r="J267" s="52">
        <f t="shared" si="24"/>
        <v>23.75</v>
      </c>
      <c r="K267" s="52"/>
    </row>
    <row r="268" spans="1:16" x14ac:dyDescent="0.35">
      <c r="A268" s="43">
        <v>32416</v>
      </c>
      <c r="B268" s="1">
        <v>271.91000000000003</v>
      </c>
      <c r="C268" s="17">
        <v>6.22</v>
      </c>
      <c r="D268" s="17">
        <v>6.38</v>
      </c>
      <c r="E268" s="221"/>
      <c r="F268" s="80"/>
      <c r="G268" s="8"/>
      <c r="I268" s="52"/>
      <c r="J268" s="52"/>
      <c r="K268" s="52"/>
    </row>
    <row r="269" spans="1:16" x14ac:dyDescent="0.35">
      <c r="A269" s="43">
        <v>32324</v>
      </c>
      <c r="B269" s="1">
        <v>273.5</v>
      </c>
      <c r="C269" s="17">
        <v>6.05</v>
      </c>
      <c r="D269" s="17">
        <v>6.22</v>
      </c>
      <c r="E269" s="221"/>
      <c r="F269" s="1"/>
      <c r="G269" s="1"/>
      <c r="I269" s="52"/>
      <c r="J269" s="52"/>
      <c r="K269" s="52"/>
    </row>
    <row r="270" spans="1:16" x14ac:dyDescent="0.35">
      <c r="A270" s="43">
        <v>32233</v>
      </c>
      <c r="B270" s="1">
        <v>258.89</v>
      </c>
      <c r="C270" s="17">
        <v>5.48</v>
      </c>
      <c r="D270" s="17">
        <v>5.53</v>
      </c>
      <c r="E270" s="221"/>
      <c r="F270" s="1"/>
      <c r="G270" s="1"/>
      <c r="I270" s="52"/>
      <c r="J270" s="52"/>
      <c r="K270" s="52"/>
    </row>
    <row r="271" spans="1:16" x14ac:dyDescent="0.35">
      <c r="E271" s="46"/>
    </row>
    <row r="272" spans="1:16" x14ac:dyDescent="0.35">
      <c r="A272" s="3" t="s">
        <v>105</v>
      </c>
      <c r="B272" s="3"/>
      <c r="C272" t="s">
        <v>18</v>
      </c>
    </row>
    <row r="273" spans="1:14" x14ac:dyDescent="0.35">
      <c r="A273" s="3" t="s">
        <v>106</v>
      </c>
      <c r="B273" s="3"/>
      <c r="C273" t="s">
        <v>19</v>
      </c>
    </row>
    <row r="274" spans="1:14" x14ac:dyDescent="0.35">
      <c r="A274" s="3" t="s">
        <v>104</v>
      </c>
      <c r="B274" s="3"/>
      <c r="C274" s="53" t="s">
        <v>112</v>
      </c>
    </row>
    <row r="275" spans="1:14" x14ac:dyDescent="0.35">
      <c r="A275" s="3"/>
      <c r="H275" s="1"/>
    </row>
    <row r="276" spans="1:14" x14ac:dyDescent="0.35">
      <c r="A276" s="3" t="s">
        <v>20</v>
      </c>
      <c r="B276" s="1"/>
      <c r="C276" s="1"/>
      <c r="D276" s="1"/>
      <c r="E276" s="1"/>
      <c r="F276" s="1"/>
      <c r="G276" s="1"/>
      <c r="H276" s="1"/>
    </row>
    <row r="277" spans="1:14" x14ac:dyDescent="0.35">
      <c r="A277" s="3"/>
      <c r="B277" s="1"/>
      <c r="C277" s="1"/>
      <c r="D277" s="1"/>
      <c r="E277" s="1"/>
      <c r="F277" s="1"/>
      <c r="G277" s="1"/>
      <c r="H277" s="275"/>
    </row>
    <row r="278" spans="1:14" x14ac:dyDescent="0.35">
      <c r="A278" s="14"/>
      <c r="B278" s="14"/>
      <c r="C278" s="14"/>
      <c r="D278" s="15"/>
      <c r="E278" s="14"/>
      <c r="F278" s="14"/>
      <c r="G278" s="14"/>
      <c r="H278" s="275"/>
      <c r="I278" s="275"/>
      <c r="J278" s="275"/>
      <c r="K278" s="16"/>
      <c r="L278" s="16"/>
      <c r="M278" s="16"/>
    </row>
    <row r="279" spans="1:14" ht="15" x14ac:dyDescent="0.4">
      <c r="A279" s="113" t="s">
        <v>197</v>
      </c>
      <c r="B279" s="14"/>
      <c r="C279" s="14"/>
      <c r="D279" s="15"/>
      <c r="E279" s="15"/>
      <c r="F279" s="14"/>
      <c r="G279" s="14"/>
      <c r="H279" s="275"/>
      <c r="I279" s="275"/>
      <c r="J279" s="275"/>
      <c r="K279" s="16"/>
      <c r="L279" s="16"/>
      <c r="M279" s="16"/>
      <c r="N279" s="16"/>
    </row>
    <row r="280" spans="1:14" ht="12.6" customHeight="1" x14ac:dyDescent="0.35">
      <c r="A280" s="308" t="s">
        <v>196</v>
      </c>
      <c r="B280" s="309"/>
      <c r="C280" s="309"/>
      <c r="D280" s="309"/>
      <c r="E280" s="309"/>
      <c r="F280" s="309"/>
      <c r="G280" s="309"/>
      <c r="H280" s="309"/>
      <c r="I280" s="309"/>
      <c r="J280" s="309"/>
      <c r="K280" s="309"/>
      <c r="L280" s="309"/>
      <c r="M280" s="285"/>
    </row>
    <row r="281" spans="1:14" ht="12.6" customHeight="1" x14ac:dyDescent="0.35">
      <c r="A281" s="309"/>
      <c r="B281" s="309"/>
      <c r="C281" s="309"/>
      <c r="D281" s="309"/>
      <c r="E281" s="309"/>
      <c r="F281" s="309"/>
      <c r="G281" s="309"/>
      <c r="H281" s="309"/>
      <c r="I281" s="309"/>
      <c r="J281" s="309"/>
      <c r="K281" s="309"/>
      <c r="L281" s="309"/>
      <c r="M281" s="285"/>
    </row>
    <row r="282" spans="1:14" ht="12.6" customHeight="1" x14ac:dyDescent="0.35">
      <c r="A282" s="309"/>
      <c r="B282" s="309"/>
      <c r="C282" s="309"/>
      <c r="D282" s="309"/>
      <c r="E282" s="309"/>
      <c r="F282" s="309"/>
      <c r="G282" s="309"/>
      <c r="H282" s="309"/>
      <c r="I282" s="309"/>
      <c r="J282" s="309"/>
      <c r="K282" s="309"/>
      <c r="L282" s="309"/>
      <c r="M282" s="285"/>
    </row>
    <row r="283" spans="1:14" ht="12.6" customHeight="1" x14ac:dyDescent="0.35">
      <c r="A283" s="309"/>
      <c r="B283" s="309"/>
      <c r="C283" s="309"/>
      <c r="D283" s="309"/>
      <c r="E283" s="309"/>
      <c r="F283" s="309"/>
      <c r="G283" s="309"/>
      <c r="H283" s="309"/>
      <c r="I283" s="309"/>
      <c r="J283" s="309"/>
      <c r="K283" s="309"/>
      <c r="L283" s="309"/>
      <c r="M283" s="285"/>
    </row>
    <row r="284" spans="1:14" ht="12.6" customHeight="1" x14ac:dyDescent="0.35">
      <c r="A284" s="309"/>
      <c r="B284" s="309"/>
      <c r="C284" s="309"/>
      <c r="D284" s="309"/>
      <c r="E284" s="309"/>
      <c r="F284" s="309"/>
      <c r="G284" s="309"/>
      <c r="H284" s="309"/>
      <c r="I284" s="309"/>
      <c r="J284" s="309"/>
      <c r="K284" s="309"/>
      <c r="L284" s="309"/>
      <c r="M284" s="285"/>
    </row>
    <row r="285" spans="1:14" ht="12.6" customHeight="1" x14ac:dyDescent="0.35">
      <c r="A285" s="309"/>
      <c r="B285" s="309"/>
      <c r="C285" s="309"/>
      <c r="D285" s="309"/>
      <c r="E285" s="309"/>
      <c r="F285" s="309"/>
      <c r="G285" s="309"/>
      <c r="H285" s="309"/>
      <c r="I285" s="309"/>
      <c r="J285" s="309"/>
      <c r="K285" s="309"/>
      <c r="L285" s="309"/>
      <c r="M285" s="285"/>
    </row>
    <row r="286" spans="1:14" ht="12.6" customHeight="1" x14ac:dyDescent="0.35">
      <c r="A286" s="309"/>
      <c r="B286" s="309"/>
      <c r="C286" s="309"/>
      <c r="D286" s="309"/>
      <c r="E286" s="309"/>
      <c r="F286" s="309"/>
      <c r="G286" s="309"/>
      <c r="H286" s="309"/>
      <c r="I286" s="309"/>
      <c r="J286" s="309"/>
      <c r="K286" s="309"/>
      <c r="L286" s="309"/>
      <c r="M286" s="285"/>
    </row>
    <row r="287" spans="1:14" ht="12.6" customHeight="1" x14ac:dyDescent="0.35">
      <c r="A287" s="309"/>
      <c r="B287" s="309"/>
      <c r="C287" s="309"/>
      <c r="D287" s="309"/>
      <c r="E287" s="309"/>
      <c r="F287" s="309"/>
      <c r="G287" s="309"/>
      <c r="H287" s="309"/>
      <c r="I287" s="309"/>
      <c r="J287" s="309"/>
      <c r="K287" s="309"/>
      <c r="L287" s="309"/>
      <c r="M287" s="285"/>
    </row>
    <row r="288" spans="1:14" ht="12.6" customHeight="1" x14ac:dyDescent="0.35">
      <c r="A288" s="309"/>
      <c r="B288" s="309"/>
      <c r="C288" s="309"/>
      <c r="D288" s="309"/>
      <c r="E288" s="309"/>
      <c r="F288" s="309"/>
      <c r="G288" s="309"/>
      <c r="H288" s="309"/>
      <c r="I288" s="309"/>
      <c r="J288" s="309"/>
      <c r="K288" s="309"/>
      <c r="L288" s="309"/>
      <c r="M288" s="285"/>
    </row>
    <row r="289" spans="1:13" ht="12.6" customHeight="1" x14ac:dyDescent="0.35">
      <c r="A289" s="309"/>
      <c r="B289" s="309"/>
      <c r="C289" s="309"/>
      <c r="D289" s="309"/>
      <c r="E289" s="309"/>
      <c r="F289" s="309"/>
      <c r="G289" s="309"/>
      <c r="H289" s="309"/>
      <c r="I289" s="309"/>
      <c r="J289" s="309"/>
      <c r="K289" s="309"/>
      <c r="L289" s="309"/>
      <c r="M289" s="285"/>
    </row>
    <row r="290" spans="1:13" ht="12.6" customHeight="1" x14ac:dyDescent="0.35">
      <c r="A290" s="309"/>
      <c r="B290" s="309"/>
      <c r="C290" s="309"/>
      <c r="D290" s="309"/>
      <c r="E290" s="309"/>
      <c r="F290" s="309"/>
      <c r="G290" s="309"/>
      <c r="H290" s="309"/>
      <c r="I290" s="309"/>
      <c r="J290" s="309"/>
      <c r="K290" s="309"/>
      <c r="L290" s="309"/>
      <c r="M290" s="285"/>
    </row>
    <row r="291" spans="1:13" ht="12.6" customHeight="1" x14ac:dyDescent="0.35">
      <c r="A291" s="309"/>
      <c r="B291" s="309"/>
      <c r="C291" s="309"/>
      <c r="D291" s="309"/>
      <c r="E291" s="309"/>
      <c r="F291" s="309"/>
      <c r="G291" s="309"/>
      <c r="H291" s="309"/>
      <c r="I291" s="309"/>
      <c r="J291" s="309"/>
      <c r="K291" s="309"/>
      <c r="L291" s="309"/>
      <c r="M291" s="285"/>
    </row>
    <row r="292" spans="1:13" ht="12.6" customHeight="1" x14ac:dyDescent="0.35">
      <c r="A292" s="275"/>
      <c r="B292" s="275"/>
      <c r="C292" s="275"/>
      <c r="D292" s="275"/>
      <c r="E292" s="275"/>
      <c r="F292" s="275"/>
      <c r="G292" s="275"/>
      <c r="H292" s="285"/>
      <c r="I292" s="285"/>
      <c r="J292" s="285"/>
      <c r="K292" s="285"/>
      <c r="L292" s="285"/>
      <c r="M292" s="285"/>
    </row>
    <row r="293" spans="1:13" ht="12.6" customHeight="1" x14ac:dyDescent="0.35">
      <c r="A293" s="285"/>
      <c r="B293" s="285"/>
      <c r="C293" s="285"/>
      <c r="D293" s="285"/>
      <c r="E293" s="285"/>
      <c r="F293" s="285"/>
      <c r="G293" s="285"/>
      <c r="H293" s="285"/>
      <c r="I293" s="285"/>
      <c r="J293" s="285"/>
      <c r="K293" s="285"/>
      <c r="L293" s="285"/>
      <c r="M293" s="285"/>
    </row>
    <row r="294" spans="1:13" ht="12.6" customHeight="1" x14ac:dyDescent="0.35">
      <c r="A294" s="285"/>
      <c r="B294" s="285"/>
      <c r="C294" s="285"/>
      <c r="D294" s="285"/>
      <c r="E294" s="285"/>
      <c r="F294" s="285"/>
      <c r="G294" s="285"/>
      <c r="H294" s="285"/>
      <c r="I294" s="285"/>
      <c r="J294" s="285"/>
      <c r="K294" s="285"/>
      <c r="L294" s="285"/>
      <c r="M294" s="285"/>
    </row>
    <row r="295" spans="1:13" ht="12.6" customHeight="1" x14ac:dyDescent="0.35">
      <c r="A295" s="285"/>
      <c r="B295" s="285"/>
      <c r="C295" s="285"/>
      <c r="D295" s="285"/>
      <c r="E295" s="285"/>
      <c r="F295" s="285"/>
      <c r="G295" s="285"/>
      <c r="H295" s="285"/>
      <c r="I295" s="285"/>
      <c r="J295" s="285"/>
      <c r="K295" s="285"/>
      <c r="L295" s="285"/>
      <c r="M295" s="285"/>
    </row>
    <row r="296" spans="1:13" ht="12.6" customHeight="1" x14ac:dyDescent="0.35">
      <c r="A296" s="285"/>
      <c r="B296" s="285"/>
      <c r="C296" s="285"/>
      <c r="D296" s="285"/>
      <c r="E296" s="285"/>
      <c r="F296" s="285"/>
      <c r="G296" s="285"/>
      <c r="H296" s="285"/>
      <c r="I296" s="285"/>
      <c r="J296" s="285"/>
      <c r="K296" s="285"/>
      <c r="L296" s="285"/>
      <c r="M296" s="285"/>
    </row>
    <row r="297" spans="1:13" ht="12.6" customHeight="1" x14ac:dyDescent="0.35">
      <c r="A297" s="285"/>
      <c r="B297" s="285"/>
      <c r="C297" s="285"/>
      <c r="D297" s="285"/>
      <c r="E297" s="285"/>
      <c r="F297" s="285"/>
      <c r="G297" s="285"/>
      <c r="I297" s="285"/>
      <c r="J297" s="285"/>
      <c r="K297" s="285"/>
      <c r="L297" s="285"/>
      <c r="M297" s="285"/>
    </row>
  </sheetData>
  <sortState xmlns:xlrd2="http://schemas.microsoft.com/office/spreadsheetml/2017/richdata2" ref="A2:A3">
    <sortCondition ref="A2:A3"/>
  </sortState>
  <mergeCells count="1">
    <mergeCell ref="A280:L291"/>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K128"/>
  <sheetViews>
    <sheetView workbookViewId="0">
      <selection activeCell="B1" sqref="B1"/>
    </sheetView>
  </sheetViews>
  <sheetFormatPr defaultColWidth="9.1328125" defaultRowHeight="13.15" x14ac:dyDescent="0.4"/>
  <cols>
    <col min="1" max="1" width="50.59765625" style="64" customWidth="1"/>
    <col min="2" max="2" width="10.3984375"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46" bestFit="1" customWidth="1"/>
    <col min="51" max="51" width="8.1328125" style="65" bestFit="1" customWidth="1"/>
    <col min="52" max="53" width="8" style="65" bestFit="1" customWidth="1"/>
    <col min="54" max="54" width="9.1328125"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67" width="6.73046875" style="65" bestFit="1" customWidth="1"/>
    <col min="68" max="68" width="9.265625" style="66" bestFit="1" customWidth="1"/>
    <col min="69" max="69" width="8.59765625" style="65" bestFit="1" customWidth="1"/>
    <col min="70" max="70" width="9.265625" style="66" bestFit="1" customWidth="1"/>
    <col min="71" max="71" width="8.59765625" style="65" bestFit="1" customWidth="1"/>
    <col min="72" max="72" width="9.265625" style="66" bestFit="1" customWidth="1"/>
    <col min="73" max="73" width="8.59765625" style="65" bestFit="1" customWidth="1"/>
    <col min="74" max="74" width="9.265625" style="66" bestFit="1" customWidth="1"/>
    <col min="75" max="75" width="8.59765625" style="65" bestFit="1" customWidth="1"/>
    <col min="76" max="76" width="9.265625" style="66" bestFit="1" customWidth="1"/>
    <col min="77" max="77" width="8.59765625" style="65" bestFit="1" customWidth="1"/>
    <col min="78" max="78" width="9.265625" style="66" bestFit="1" customWidth="1"/>
    <col min="79" max="79" width="8.5976562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5" bestFit="1" customWidth="1"/>
    <col min="87" max="87" width="8.59765625" style="65" customWidth="1"/>
    <col min="88" max="88" width="9.73046875" style="65" bestFit="1" customWidth="1"/>
    <col min="89" max="89" width="9.1328125" style="65" bestFit="1" customWidth="1"/>
    <col min="90" max="90" width="10.3984375" style="65" bestFit="1" customWidth="1"/>
    <col min="91" max="91" width="10.265625" style="65" bestFit="1" customWidth="1"/>
    <col min="92" max="92" width="10.3984375" style="65" bestFit="1" customWidth="1"/>
    <col min="93" max="93" width="9.73046875" style="65" bestFit="1" customWidth="1"/>
    <col min="94" max="94" width="10.3984375" style="65" bestFit="1" customWidth="1"/>
    <col min="95" max="95" width="9.73046875" style="65" bestFit="1" customWidth="1"/>
    <col min="96" max="96" width="10.3984375" style="65" bestFit="1" customWidth="1"/>
    <col min="97" max="97" width="9.73046875" style="65" bestFit="1" customWidth="1"/>
    <col min="98" max="98" width="10.3984375" style="65" bestFit="1" customWidth="1"/>
    <col min="99" max="99" width="9.73046875" style="65" bestFit="1" customWidth="1"/>
    <col min="100" max="100" width="6.59765625" style="65" bestFit="1" customWidth="1"/>
    <col min="101" max="101" width="11.73046875" style="67" customWidth="1"/>
    <col min="102" max="103" width="11.73046875" style="67" bestFit="1" customWidth="1"/>
    <col min="104" max="104" width="11.73046875" style="298" bestFit="1" customWidth="1"/>
    <col min="105" max="105" width="11.73046875" style="299" bestFit="1" customWidth="1"/>
    <col min="106" max="109" width="11.73046875" style="51" bestFit="1" customWidth="1"/>
    <col min="110" max="112" width="11.73046875" style="51" customWidth="1"/>
    <col min="113" max="113" width="11.73046875" style="51" bestFit="1" customWidth="1"/>
    <col min="114" max="114" width="11.73046875" style="298" bestFit="1" customWidth="1"/>
    <col min="115" max="115" width="48.59765625" style="112" bestFit="1" customWidth="1"/>
    <col min="116" max="16384" width="9.1328125" style="68"/>
  </cols>
  <sheetData>
    <row r="1" spans="1:115" x14ac:dyDescent="0.4">
      <c r="A1" s="5" t="s">
        <v>149</v>
      </c>
      <c r="C1" s="69"/>
      <c r="BO1" s="173"/>
    </row>
    <row r="2" spans="1:115" ht="15" x14ac:dyDescent="0.4">
      <c r="A2" s="64" t="s">
        <v>5</v>
      </c>
      <c r="B2" s="99">
        <v>44692</v>
      </c>
      <c r="C2" s="69"/>
      <c r="E2" s="300"/>
      <c r="F2" s="246"/>
      <c r="G2" s="246"/>
      <c r="BO2" s="173"/>
      <c r="DA2" s="301"/>
      <c r="DB2" s="301"/>
      <c r="DC2" s="302"/>
      <c r="DD2" s="302"/>
      <c r="DE2" s="302"/>
      <c r="DF2" s="302"/>
      <c r="DG2" s="302"/>
      <c r="DH2" s="302"/>
      <c r="DI2" s="301"/>
    </row>
    <row r="3" spans="1:115" x14ac:dyDescent="0.4">
      <c r="A3" s="64" t="s">
        <v>28</v>
      </c>
      <c r="B3" s="99">
        <v>44561</v>
      </c>
      <c r="C3" s="69" t="s">
        <v>29</v>
      </c>
      <c r="AQ3" s="89"/>
      <c r="AR3" s="89"/>
      <c r="AS3" s="89"/>
      <c r="AT3" s="89"/>
      <c r="AU3" s="89"/>
      <c r="AV3" s="89"/>
      <c r="AW3" s="89"/>
      <c r="AX3" s="247"/>
      <c r="AY3" s="89"/>
      <c r="AZ3" s="89"/>
      <c r="BA3" s="89"/>
      <c r="BB3" s="89"/>
      <c r="BC3" s="89"/>
      <c r="BD3" s="89"/>
      <c r="BE3" s="89"/>
      <c r="BF3" s="89"/>
      <c r="BG3" s="89"/>
      <c r="BH3" s="89"/>
      <c r="BI3" s="89"/>
      <c r="BJ3" s="89"/>
      <c r="BK3" s="89"/>
      <c r="BL3" s="89"/>
      <c r="BM3" s="89"/>
      <c r="BN3" s="89"/>
      <c r="BO3" s="173"/>
      <c r="CO3" s="284"/>
      <c r="DA3" s="301"/>
      <c r="DB3" s="301"/>
      <c r="DC3" s="302"/>
      <c r="DD3" s="302"/>
      <c r="DE3" s="302"/>
      <c r="DF3" s="302"/>
      <c r="DG3" s="302"/>
      <c r="DH3" s="302"/>
      <c r="DI3" s="301"/>
    </row>
    <row r="4" spans="1:115" x14ac:dyDescent="0.4">
      <c r="A4" s="64" t="s">
        <v>30</v>
      </c>
      <c r="B4" s="99">
        <v>44651</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173"/>
      <c r="CH4" s="67"/>
      <c r="CI4" s="67"/>
      <c r="CK4" s="67"/>
      <c r="DA4" s="301"/>
      <c r="DB4" s="301"/>
      <c r="DC4" s="302"/>
      <c r="DD4" s="302"/>
      <c r="DE4" s="302"/>
      <c r="DF4" s="302"/>
      <c r="DG4" s="302"/>
      <c r="DH4" s="302"/>
      <c r="DI4" s="301"/>
    </row>
    <row r="5" spans="1:115"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173"/>
      <c r="BX5" s="84"/>
      <c r="BY5" s="84"/>
      <c r="BZ5" s="84"/>
      <c r="CB5" s="84"/>
      <c r="CD5" s="84"/>
      <c r="CF5" s="84"/>
      <c r="CK5" s="67"/>
    </row>
    <row r="6" spans="1:115" s="64" customFormat="1" x14ac:dyDescent="0.4">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5" t="s">
        <v>142</v>
      </c>
      <c r="X6" s="245" t="s">
        <v>143</v>
      </c>
      <c r="Y6" s="245" t="s">
        <v>144</v>
      </c>
      <c r="Z6" s="245" t="s">
        <v>145</v>
      </c>
      <c r="AA6" s="245" t="s">
        <v>171</v>
      </c>
      <c r="AB6" s="245" t="s">
        <v>172</v>
      </c>
      <c r="AC6" s="245" t="s">
        <v>173</v>
      </c>
      <c r="AD6" s="245" t="s">
        <v>174</v>
      </c>
      <c r="AE6" s="245" t="s">
        <v>189</v>
      </c>
      <c r="AF6" s="245" t="s">
        <v>190</v>
      </c>
      <c r="AG6" s="245" t="s">
        <v>191</v>
      </c>
      <c r="AH6" s="245" t="s">
        <v>192</v>
      </c>
      <c r="AI6" s="245" t="s">
        <v>221</v>
      </c>
      <c r="AJ6" s="245" t="s">
        <v>222</v>
      </c>
      <c r="AK6" s="245" t="s">
        <v>223</v>
      </c>
      <c r="AL6" s="245" t="s">
        <v>224</v>
      </c>
      <c r="AM6" s="245" t="s">
        <v>268</v>
      </c>
      <c r="AN6" s="245" t="s">
        <v>269</v>
      </c>
      <c r="AO6" s="245" t="s">
        <v>270</v>
      </c>
      <c r="AP6" s="245" t="s">
        <v>271</v>
      </c>
      <c r="AQ6" s="245" t="s">
        <v>329</v>
      </c>
      <c r="AR6" s="245" t="s">
        <v>330</v>
      </c>
      <c r="AS6" s="245" t="s">
        <v>331</v>
      </c>
      <c r="AT6" s="245" t="s">
        <v>332</v>
      </c>
      <c r="AU6" s="245" t="s">
        <v>426</v>
      </c>
      <c r="AV6" s="245" t="s">
        <v>438</v>
      </c>
      <c r="AW6" s="245" t="s">
        <v>447</v>
      </c>
      <c r="AX6" s="245" t="s">
        <v>472</v>
      </c>
      <c r="AY6" s="245" t="s">
        <v>488</v>
      </c>
      <c r="AZ6" s="245" t="s">
        <v>496</v>
      </c>
      <c r="BA6" s="245" t="s">
        <v>505</v>
      </c>
      <c r="BB6" s="245" t="s">
        <v>538</v>
      </c>
      <c r="BC6" s="245" t="s">
        <v>553</v>
      </c>
      <c r="BD6" s="245" t="s">
        <v>563</v>
      </c>
      <c r="BE6" s="245" t="s">
        <v>570</v>
      </c>
      <c r="BF6" s="245" t="s">
        <v>602</v>
      </c>
      <c r="BG6" s="245" t="s">
        <v>519</v>
      </c>
      <c r="BH6" s="245" t="s">
        <v>520</v>
      </c>
      <c r="BI6" s="245" t="s">
        <v>521</v>
      </c>
      <c r="BJ6" s="245" t="s">
        <v>522</v>
      </c>
      <c r="BK6" s="245" t="s">
        <v>578</v>
      </c>
      <c r="BL6" s="245" t="s">
        <v>585</v>
      </c>
      <c r="BM6" s="245" t="s">
        <v>579</v>
      </c>
      <c r="BN6" s="245" t="s">
        <v>584</v>
      </c>
      <c r="BO6" s="69"/>
      <c r="BP6" s="70" t="s">
        <v>54</v>
      </c>
      <c r="BQ6" s="69" t="s">
        <v>55</v>
      </c>
      <c r="BR6" s="70" t="s">
        <v>56</v>
      </c>
      <c r="BS6" s="69" t="s">
        <v>57</v>
      </c>
      <c r="BT6" s="70" t="s">
        <v>58</v>
      </c>
      <c r="BU6" s="69" t="s">
        <v>59</v>
      </c>
      <c r="BV6" s="70" t="s">
        <v>60</v>
      </c>
      <c r="BW6" s="69" t="s">
        <v>61</v>
      </c>
      <c r="BX6" s="70" t="s">
        <v>62</v>
      </c>
      <c r="BY6" s="69" t="s">
        <v>63</v>
      </c>
      <c r="BZ6" s="70" t="s">
        <v>146</v>
      </c>
      <c r="CA6" s="69" t="s">
        <v>147</v>
      </c>
      <c r="CB6" s="70" t="s">
        <v>175</v>
      </c>
      <c r="CC6" s="69" t="s">
        <v>176</v>
      </c>
      <c r="CD6" s="70" t="s">
        <v>210</v>
      </c>
      <c r="CE6" s="69" t="s">
        <v>211</v>
      </c>
      <c r="CF6" s="70" t="s">
        <v>225</v>
      </c>
      <c r="CG6" s="69" t="s">
        <v>226</v>
      </c>
      <c r="CH6" s="69" t="s">
        <v>272</v>
      </c>
      <c r="CI6" s="69" t="s">
        <v>273</v>
      </c>
      <c r="CJ6" s="69" t="s">
        <v>416</v>
      </c>
      <c r="CK6" s="69" t="s">
        <v>415</v>
      </c>
      <c r="CL6" s="69" t="s">
        <v>516</v>
      </c>
      <c r="CM6" s="69" t="s">
        <v>517</v>
      </c>
      <c r="CN6" s="69" t="s">
        <v>539</v>
      </c>
      <c r="CO6" s="69" t="s">
        <v>540</v>
      </c>
      <c r="CP6" s="69" t="s">
        <v>603</v>
      </c>
      <c r="CQ6" s="69" t="s">
        <v>449</v>
      </c>
      <c r="CR6" s="69" t="s">
        <v>523</v>
      </c>
      <c r="CS6" s="69" t="s">
        <v>524</v>
      </c>
      <c r="CT6" s="69" t="s">
        <v>586</v>
      </c>
      <c r="CU6" s="69" t="s">
        <v>587</v>
      </c>
      <c r="CV6" s="69"/>
      <c r="CW6" s="71" t="s">
        <v>111</v>
      </c>
      <c r="CX6" s="71" t="s">
        <v>110</v>
      </c>
      <c r="CY6" s="71" t="s">
        <v>109</v>
      </c>
      <c r="CZ6" s="71" t="s">
        <v>140</v>
      </c>
      <c r="DA6" s="71" t="s">
        <v>169</v>
      </c>
      <c r="DB6" s="71" t="s">
        <v>187</v>
      </c>
      <c r="DC6" s="71" t="s">
        <v>201</v>
      </c>
      <c r="DD6" s="71" t="s">
        <v>267</v>
      </c>
      <c r="DE6" s="71" t="s">
        <v>333</v>
      </c>
      <c r="DF6" s="71" t="s">
        <v>368</v>
      </c>
      <c r="DG6" s="71" t="s">
        <v>405</v>
      </c>
      <c r="DH6" s="71" t="s">
        <v>446</v>
      </c>
      <c r="DI6" s="71" t="s">
        <v>504</v>
      </c>
      <c r="DJ6" s="74" t="s">
        <v>569</v>
      </c>
      <c r="DK6" s="112" t="s">
        <v>33</v>
      </c>
    </row>
    <row r="7" spans="1:115" x14ac:dyDescent="0.4">
      <c r="A7" s="64" t="s">
        <v>32</v>
      </c>
      <c r="B7" s="72" t="s">
        <v>139</v>
      </c>
      <c r="CP7" s="66"/>
      <c r="CQ7" s="67"/>
      <c r="CR7" s="66"/>
      <c r="CS7" s="67"/>
      <c r="CT7" s="66"/>
      <c r="CU7" s="67"/>
      <c r="DA7" s="303"/>
      <c r="DK7" s="112" t="s">
        <v>32</v>
      </c>
    </row>
    <row r="8" spans="1:115" x14ac:dyDescent="0.4">
      <c r="A8" s="64" t="s">
        <v>24</v>
      </c>
      <c r="B8" s="80">
        <v>3935.18</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49.91</v>
      </c>
      <c r="BH8" s="58">
        <v>55.11</v>
      </c>
      <c r="BI8" s="58">
        <v>59</v>
      </c>
      <c r="BJ8" s="58">
        <v>60.37</v>
      </c>
      <c r="BK8" s="58">
        <v>58.43</v>
      </c>
      <c r="BL8" s="58">
        <v>60.8</v>
      </c>
      <c r="BM8" s="58">
        <v>63.49</v>
      </c>
      <c r="BN8" s="58">
        <v>65.349999999999994</v>
      </c>
      <c r="BO8" s="67"/>
      <c r="BP8" s="66">
        <v>49.51</v>
      </c>
      <c r="BQ8" s="67">
        <v>18.239999999999998</v>
      </c>
      <c r="BR8" s="66">
        <v>56.86</v>
      </c>
      <c r="BS8" s="67">
        <v>19.61</v>
      </c>
      <c r="BT8" s="66">
        <v>83.77</v>
      </c>
      <c r="BU8" s="67">
        <v>15.01</v>
      </c>
      <c r="BV8" s="66">
        <v>96.44</v>
      </c>
      <c r="BW8" s="67">
        <v>13.04</v>
      </c>
      <c r="BX8" s="66">
        <v>96.82</v>
      </c>
      <c r="BY8" s="67">
        <v>14.73</v>
      </c>
      <c r="BZ8" s="66">
        <v>107.31</v>
      </c>
      <c r="CA8" s="67">
        <v>17.22</v>
      </c>
      <c r="CB8" s="66">
        <v>113.01</v>
      </c>
      <c r="CC8" s="67">
        <v>18.22</v>
      </c>
      <c r="CD8" s="66">
        <v>100.45</v>
      </c>
      <c r="CE8" s="67">
        <v>20.350000000000001</v>
      </c>
      <c r="CF8" s="66">
        <v>106.26</v>
      </c>
      <c r="CG8" s="67">
        <v>21.07</v>
      </c>
      <c r="CH8" s="66">
        <v>124.52</v>
      </c>
      <c r="CI8" s="67">
        <v>21.47</v>
      </c>
      <c r="CJ8" s="100">
        <v>151.6</v>
      </c>
      <c r="CK8" s="67">
        <v>16.54</v>
      </c>
      <c r="CL8" s="66">
        <v>157.12</v>
      </c>
      <c r="CM8" s="67">
        <v>20.56</v>
      </c>
      <c r="CN8" s="66">
        <v>122.37</v>
      </c>
      <c r="CO8" s="67">
        <v>30.69</v>
      </c>
      <c r="CP8" s="66">
        <v>208.2</v>
      </c>
      <c r="CQ8" s="67">
        <v>22.89</v>
      </c>
      <c r="CR8" s="66">
        <v>224.4</v>
      </c>
      <c r="CS8" s="67">
        <v>17.54</v>
      </c>
      <c r="CT8" s="66">
        <v>248.08</v>
      </c>
      <c r="CU8" s="67">
        <v>15.86</v>
      </c>
      <c r="CV8" s="67"/>
      <c r="CW8" s="67">
        <v>903.25492143355405</v>
      </c>
      <c r="CX8" s="67">
        <v>1115.10268063072</v>
      </c>
      <c r="CY8" s="67">
        <v>1257.6400000000001</v>
      </c>
      <c r="CZ8" s="298">
        <v>1257.5999999999999</v>
      </c>
      <c r="DA8" s="299">
        <v>1426.19</v>
      </c>
      <c r="DB8" s="298">
        <v>1848.36</v>
      </c>
      <c r="DC8" s="298">
        <v>2058.9</v>
      </c>
      <c r="DD8" s="298">
        <v>2043.94</v>
      </c>
      <c r="DE8" s="298">
        <v>2238.83</v>
      </c>
      <c r="DF8" s="298">
        <v>2673.61</v>
      </c>
      <c r="DG8" s="298">
        <v>2506.85</v>
      </c>
      <c r="DH8" s="298">
        <v>3230.78</v>
      </c>
      <c r="DI8" s="298">
        <v>3756.07</v>
      </c>
      <c r="DJ8" s="298">
        <v>4766.18</v>
      </c>
      <c r="DK8" s="112" t="s">
        <v>24</v>
      </c>
    </row>
    <row r="9" spans="1:115" x14ac:dyDescent="0.4">
      <c r="A9" s="64" t="s">
        <v>64</v>
      </c>
      <c r="B9" s="80">
        <v>1131.55</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5.92</v>
      </c>
      <c r="BH9" s="58">
        <v>11.07</v>
      </c>
      <c r="BI9" s="58">
        <v>13.77</v>
      </c>
      <c r="BJ9" s="58">
        <v>13.36</v>
      </c>
      <c r="BK9" s="58">
        <v>12.58</v>
      </c>
      <c r="BL9" s="58">
        <v>15.16</v>
      </c>
      <c r="BM9" s="58">
        <v>16.420000000000002</v>
      </c>
      <c r="BN9" s="58">
        <v>15.85</v>
      </c>
      <c r="BO9" s="67"/>
      <c r="BP9" s="66">
        <v>5.28</v>
      </c>
      <c r="BQ9" s="67">
        <v>32.08</v>
      </c>
      <c r="BR9" s="66">
        <v>10.96</v>
      </c>
      <c r="BS9" s="67">
        <v>21.45</v>
      </c>
      <c r="BT9" s="66">
        <v>18.2</v>
      </c>
      <c r="BU9" s="67">
        <v>16.239999999999998</v>
      </c>
      <c r="BV9" s="66">
        <v>20.81</v>
      </c>
      <c r="BW9" s="67">
        <v>14.83</v>
      </c>
      <c r="BX9" s="66">
        <v>22.27</v>
      </c>
      <c r="BY9" s="67">
        <v>16.89</v>
      </c>
      <c r="BZ9" s="66">
        <v>25.12</v>
      </c>
      <c r="CA9" s="67">
        <v>21.1</v>
      </c>
      <c r="CB9" s="66">
        <v>27.7</v>
      </c>
      <c r="CC9" s="67">
        <v>20.67</v>
      </c>
      <c r="CD9" s="66">
        <v>30.44</v>
      </c>
      <c r="CE9" s="67">
        <v>20.399999999999999</v>
      </c>
      <c r="CF9" s="66">
        <v>33.299999999999997</v>
      </c>
      <c r="CG9" s="67">
        <v>19.46</v>
      </c>
      <c r="CH9" s="66">
        <v>35.229999999999997</v>
      </c>
      <c r="CI9" s="67">
        <v>22.29</v>
      </c>
      <c r="CJ9" s="66">
        <v>39.840000000000003</v>
      </c>
      <c r="CK9" s="67">
        <v>19.62</v>
      </c>
      <c r="CL9" s="66">
        <v>39.479999999999997</v>
      </c>
      <c r="CM9" s="67">
        <v>24.98</v>
      </c>
      <c r="CN9" s="66">
        <v>28.29</v>
      </c>
      <c r="CO9" s="67">
        <v>46.04</v>
      </c>
      <c r="CP9" s="66">
        <v>45.29</v>
      </c>
      <c r="CQ9" s="67">
        <v>35.56</v>
      </c>
      <c r="CR9" s="66">
        <v>44.12</v>
      </c>
      <c r="CS9" s="67">
        <v>25.65</v>
      </c>
      <c r="CT9" s="66">
        <v>59.99</v>
      </c>
      <c r="CU9" s="67">
        <v>18.86</v>
      </c>
      <c r="CV9" s="67"/>
      <c r="CW9" s="67">
        <v>169.408411257941</v>
      </c>
      <c r="CX9" s="67">
        <v>235.072766173958</v>
      </c>
      <c r="CY9" s="67">
        <v>295.54000000000002</v>
      </c>
      <c r="CZ9" s="298">
        <v>308.58</v>
      </c>
      <c r="DA9" s="299">
        <v>376.06</v>
      </c>
      <c r="DB9" s="298">
        <v>530.1</v>
      </c>
      <c r="DC9" s="298">
        <v>572.75</v>
      </c>
      <c r="DD9" s="298">
        <v>621.02</v>
      </c>
      <c r="DE9" s="298">
        <v>647.82000000000005</v>
      </c>
      <c r="DF9" s="298">
        <v>785.33</v>
      </c>
      <c r="DG9" s="298">
        <v>781.5</v>
      </c>
      <c r="DH9" s="298">
        <v>986.29</v>
      </c>
      <c r="DI9" s="298">
        <v>1302.56</v>
      </c>
      <c r="DJ9" s="298">
        <v>1610.76</v>
      </c>
      <c r="DK9" s="112" t="s">
        <v>64</v>
      </c>
    </row>
    <row r="10" spans="1:115" x14ac:dyDescent="0.4">
      <c r="A10" s="64" t="s">
        <v>65</v>
      </c>
      <c r="B10" s="80">
        <v>791.23</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8.7899999999999991</v>
      </c>
      <c r="BH10" s="58">
        <v>8.67</v>
      </c>
      <c r="BI10" s="58">
        <v>9.48</v>
      </c>
      <c r="BJ10" s="58">
        <v>9.2799999999999994</v>
      </c>
      <c r="BK10" s="58">
        <v>9.2899999999999991</v>
      </c>
      <c r="BL10" s="58">
        <v>9.5299999999999994</v>
      </c>
      <c r="BM10" s="58">
        <v>10.38</v>
      </c>
      <c r="BN10" s="58">
        <v>9.82</v>
      </c>
      <c r="BO10" s="67"/>
      <c r="BP10" s="66">
        <v>17.170000000000002</v>
      </c>
      <c r="BQ10" s="67">
        <v>14.37</v>
      </c>
      <c r="BR10" s="66">
        <v>18.36</v>
      </c>
      <c r="BS10" s="67">
        <v>14.94</v>
      </c>
      <c r="BT10" s="66">
        <v>19.45</v>
      </c>
      <c r="BU10" s="67">
        <v>15.61</v>
      </c>
      <c r="BV10" s="66">
        <v>21.38</v>
      </c>
      <c r="BW10" s="67">
        <v>15.69</v>
      </c>
      <c r="BX10" s="66">
        <v>22.59</v>
      </c>
      <c r="BY10" s="67">
        <v>15.97</v>
      </c>
      <c r="BZ10" s="66">
        <v>23.95</v>
      </c>
      <c r="CA10" s="67">
        <v>18.48</v>
      </c>
      <c r="CB10" s="66">
        <v>24.16</v>
      </c>
      <c r="CC10" s="67">
        <v>20.68</v>
      </c>
      <c r="CD10" s="66">
        <v>24.32</v>
      </c>
      <c r="CE10" s="67">
        <v>21.31</v>
      </c>
      <c r="CF10" s="66">
        <v>25.33</v>
      </c>
      <c r="CG10" s="67">
        <v>21</v>
      </c>
      <c r="CH10" s="66">
        <v>27.32</v>
      </c>
      <c r="CI10" s="67">
        <v>21.5</v>
      </c>
      <c r="CJ10" s="66">
        <v>29.35</v>
      </c>
      <c r="CK10" s="67">
        <v>17.78</v>
      </c>
      <c r="CL10" s="66">
        <v>30.5</v>
      </c>
      <c r="CM10" s="67">
        <v>21.21</v>
      </c>
      <c r="CN10" s="66">
        <v>32.049999999999997</v>
      </c>
      <c r="CO10" s="67">
        <v>21.72</v>
      </c>
      <c r="CP10" s="66">
        <v>35.119999999999997</v>
      </c>
      <c r="CQ10" s="67">
        <v>22.91</v>
      </c>
      <c r="CR10" s="66">
        <v>36.229999999999997</v>
      </c>
      <c r="CS10" s="67">
        <v>21.84</v>
      </c>
      <c r="CT10" s="66">
        <v>39.020000000000003</v>
      </c>
      <c r="CU10" s="67">
        <v>20.28</v>
      </c>
      <c r="CV10" s="67"/>
      <c r="CW10" s="67">
        <v>246.662508741848</v>
      </c>
      <c r="CX10" s="67">
        <v>274.300552266865</v>
      </c>
      <c r="CY10" s="67">
        <v>303.58</v>
      </c>
      <c r="CZ10" s="298">
        <v>335.54</v>
      </c>
      <c r="DA10" s="299">
        <v>360.78</v>
      </c>
      <c r="DB10" s="298">
        <v>442.62</v>
      </c>
      <c r="DC10" s="298">
        <v>499.58</v>
      </c>
      <c r="DD10" s="298">
        <v>518.41999999999996</v>
      </c>
      <c r="DE10" s="298">
        <v>531.79</v>
      </c>
      <c r="DF10" s="298">
        <v>587.39</v>
      </c>
      <c r="DG10" s="298">
        <v>521.88</v>
      </c>
      <c r="DH10" s="298">
        <v>646.97</v>
      </c>
      <c r="DI10" s="298">
        <v>696.32</v>
      </c>
      <c r="DJ10" s="298">
        <v>804.6</v>
      </c>
      <c r="DK10" s="112" t="s">
        <v>65</v>
      </c>
    </row>
    <row r="11" spans="1:115" x14ac:dyDescent="0.4">
      <c r="A11" s="64" t="s">
        <v>66</v>
      </c>
      <c r="B11" s="80">
        <v>591.63</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18.190000000000001</v>
      </c>
      <c r="BI11" s="58">
        <v>17.71</v>
      </c>
      <c r="BJ11" s="58">
        <v>15.89</v>
      </c>
      <c r="BK11" s="58">
        <v>14.29</v>
      </c>
      <c r="BL11" s="58">
        <v>14.74</v>
      </c>
      <c r="BM11" s="58">
        <v>14.51</v>
      </c>
      <c r="BN11" s="58">
        <v>13.38</v>
      </c>
      <c r="BO11" s="67"/>
      <c r="BP11" s="66">
        <v>50.93</v>
      </c>
      <c r="BQ11" s="67">
        <v>7.59</v>
      </c>
      <c r="BR11" s="66">
        <v>17.260000000000002</v>
      </c>
      <c r="BS11" s="67">
        <v>24.91</v>
      </c>
      <c r="BT11" s="66">
        <v>35.21</v>
      </c>
      <c r="BU11" s="67">
        <v>14.39</v>
      </c>
      <c r="BV11" s="66">
        <v>47.94</v>
      </c>
      <c r="BW11" s="67">
        <v>10.86</v>
      </c>
      <c r="BX11" s="66">
        <v>44.3</v>
      </c>
      <c r="BY11" s="67">
        <v>12.03</v>
      </c>
      <c r="BZ11" s="66">
        <v>42.35</v>
      </c>
      <c r="CA11" s="67">
        <v>15.39</v>
      </c>
      <c r="CB11" s="66">
        <v>42.93</v>
      </c>
      <c r="CC11" s="67">
        <v>13.66</v>
      </c>
      <c r="CD11" s="66">
        <v>-13.71</v>
      </c>
      <c r="CE11" s="67">
        <v>-32.700000000000003</v>
      </c>
      <c r="CF11" s="66">
        <v>-3.49</v>
      </c>
      <c r="CG11" s="67">
        <v>-158.91</v>
      </c>
      <c r="CH11" s="66">
        <v>13.28</v>
      </c>
      <c r="CI11" s="67">
        <v>40.159999999999997</v>
      </c>
      <c r="CJ11" s="66">
        <v>30.61</v>
      </c>
      <c r="CK11" s="67">
        <v>13.85</v>
      </c>
      <c r="CL11" s="66">
        <v>16.09</v>
      </c>
      <c r="CM11" s="67">
        <v>28.36</v>
      </c>
      <c r="CN11" s="66">
        <v>-27.58</v>
      </c>
      <c r="CO11" s="67">
        <v>-10.37</v>
      </c>
      <c r="CP11" s="66">
        <v>31.08</v>
      </c>
      <c r="CQ11" s="67">
        <v>13.6</v>
      </c>
      <c r="CR11" s="66">
        <v>65.88</v>
      </c>
      <c r="CS11" s="67">
        <v>8.98</v>
      </c>
      <c r="CT11" s="66">
        <v>56.91</v>
      </c>
      <c r="CU11" s="67">
        <v>10.4</v>
      </c>
      <c r="CV11" s="67"/>
      <c r="CW11" s="67">
        <v>386.351033763217</v>
      </c>
      <c r="CX11" s="67">
        <v>429.95155640507198</v>
      </c>
      <c r="CY11" s="67">
        <v>506.75</v>
      </c>
      <c r="CZ11" s="298">
        <v>520.80999999999995</v>
      </c>
      <c r="DA11" s="299">
        <v>532.96</v>
      </c>
      <c r="DB11" s="298">
        <v>651.66999999999996</v>
      </c>
      <c r="DC11" s="298">
        <v>586.59</v>
      </c>
      <c r="DD11" s="298">
        <v>448.44</v>
      </c>
      <c r="DE11" s="298">
        <v>554.5</v>
      </c>
      <c r="DF11" s="298">
        <v>533.41</v>
      </c>
      <c r="DG11" s="298">
        <v>424.07</v>
      </c>
      <c r="DH11" s="298">
        <v>456.46</v>
      </c>
      <c r="DI11" s="298">
        <v>286.14</v>
      </c>
      <c r="DJ11" s="298">
        <v>422.74</v>
      </c>
      <c r="DK11" s="112" t="s">
        <v>66</v>
      </c>
    </row>
    <row r="12" spans="1:115" x14ac:dyDescent="0.4">
      <c r="A12" s="64" t="s">
        <v>309</v>
      </c>
      <c r="B12" s="80">
        <v>552.71</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10.43</v>
      </c>
      <c r="BI12" s="58">
        <v>11.02</v>
      </c>
      <c r="BJ12" s="58">
        <v>11.55</v>
      </c>
      <c r="BK12" s="58">
        <v>12.33</v>
      </c>
      <c r="BL12" s="58">
        <v>12.32</v>
      </c>
      <c r="BM12" s="58">
        <v>12.48</v>
      </c>
      <c r="BN12" s="58">
        <v>12.83</v>
      </c>
      <c r="BO12" s="67"/>
      <c r="BP12" s="66">
        <v>-21.24</v>
      </c>
      <c r="BQ12" s="67">
        <v>-7.95</v>
      </c>
      <c r="BR12" s="66">
        <v>4.4000000000000004</v>
      </c>
      <c r="BS12" s="67">
        <v>44.04</v>
      </c>
      <c r="BT12" s="66">
        <v>14.82</v>
      </c>
      <c r="BU12" s="67">
        <v>14.49</v>
      </c>
      <c r="BV12" s="66">
        <v>16.23</v>
      </c>
      <c r="BW12" s="67">
        <v>10.79</v>
      </c>
      <c r="BX12" s="66">
        <v>16.440000000000001</v>
      </c>
      <c r="BY12" s="67">
        <v>13.46</v>
      </c>
      <c r="BZ12" s="66">
        <v>21.07</v>
      </c>
      <c r="CA12" s="67">
        <v>13.99</v>
      </c>
      <c r="CB12" s="66">
        <v>21.96</v>
      </c>
      <c r="CC12" s="67">
        <v>15.18</v>
      </c>
      <c r="CD12" s="66">
        <v>23.01</v>
      </c>
      <c r="CE12" s="67">
        <v>13.98</v>
      </c>
      <c r="CF12" s="66">
        <v>23.78</v>
      </c>
      <c r="CG12" s="67">
        <v>16.25</v>
      </c>
      <c r="CH12" s="66">
        <v>26.59</v>
      </c>
      <c r="CI12" s="67">
        <v>17.45</v>
      </c>
      <c r="CJ12" s="66">
        <v>31.25</v>
      </c>
      <c r="CK12" s="67">
        <v>12.67</v>
      </c>
      <c r="CL12" s="66">
        <v>43.44</v>
      </c>
      <c r="CM12" s="67">
        <v>11.77</v>
      </c>
      <c r="CN12" s="66">
        <v>32.659999999999997</v>
      </c>
      <c r="CO12" s="67">
        <v>15.01</v>
      </c>
      <c r="CP12" s="66">
        <v>59.26</v>
      </c>
      <c r="CQ12" s="67">
        <v>10.97</v>
      </c>
      <c r="CR12" s="66">
        <v>43.79</v>
      </c>
      <c r="CS12" s="67">
        <v>12.62</v>
      </c>
      <c r="CT12" s="66">
        <v>49.96</v>
      </c>
      <c r="CU12" s="67">
        <v>11.06</v>
      </c>
      <c r="CV12" s="67"/>
      <c r="CW12" s="67">
        <v>168.79165229151201</v>
      </c>
      <c r="CX12" s="67">
        <v>193.77928611669799</v>
      </c>
      <c r="CY12" s="67">
        <v>214.77</v>
      </c>
      <c r="CZ12" s="298">
        <v>175.23</v>
      </c>
      <c r="DA12" s="299">
        <v>221.24</v>
      </c>
      <c r="DB12" s="298">
        <v>294.70999999999998</v>
      </c>
      <c r="DC12" s="298">
        <v>333.32</v>
      </c>
      <c r="DD12" s="298">
        <v>321.73</v>
      </c>
      <c r="DE12" s="298">
        <v>386.53</v>
      </c>
      <c r="DF12" s="298">
        <v>463.94</v>
      </c>
      <c r="DG12" s="298">
        <v>395.9</v>
      </c>
      <c r="DH12" s="298">
        <v>511.39</v>
      </c>
      <c r="DI12" s="298">
        <v>490.43</v>
      </c>
      <c r="DJ12" s="298">
        <v>650.04</v>
      </c>
      <c r="DK12" s="112" t="s">
        <v>67</v>
      </c>
    </row>
    <row r="13" spans="1:115" x14ac:dyDescent="0.4">
      <c r="A13" s="64" t="s">
        <v>68</v>
      </c>
      <c r="B13" s="80">
        <v>1468.22</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20.27</v>
      </c>
      <c r="BH13" s="58">
        <v>23.35</v>
      </c>
      <c r="BI13" s="58">
        <v>24.08</v>
      </c>
      <c r="BJ13" s="58">
        <v>22.95</v>
      </c>
      <c r="BK13" s="58">
        <v>23.4</v>
      </c>
      <c r="BL13" s="58">
        <v>23.18</v>
      </c>
      <c r="BM13" s="58">
        <v>23.83</v>
      </c>
      <c r="BN13" s="58">
        <v>23.63</v>
      </c>
      <c r="BO13" s="67"/>
      <c r="BP13" s="66">
        <v>24.47</v>
      </c>
      <c r="BQ13" s="67">
        <v>12.64</v>
      </c>
      <c r="BR13" s="66">
        <v>26.4</v>
      </c>
      <c r="BS13" s="67">
        <v>13.72</v>
      </c>
      <c r="BT13" s="66">
        <v>28.9</v>
      </c>
      <c r="BU13" s="67">
        <v>12.62</v>
      </c>
      <c r="BV13" s="66">
        <v>31.08</v>
      </c>
      <c r="BW13" s="67">
        <v>12.93</v>
      </c>
      <c r="BX13" s="66">
        <v>31.53</v>
      </c>
      <c r="BY13" s="67">
        <v>14.68</v>
      </c>
      <c r="BZ13" s="66">
        <v>32.43</v>
      </c>
      <c r="CA13" s="67">
        <v>19.809999999999999</v>
      </c>
      <c r="CB13" s="66">
        <v>35.79</v>
      </c>
      <c r="CC13" s="67">
        <v>22.13</v>
      </c>
      <c r="CD13" s="66">
        <v>38.72</v>
      </c>
      <c r="CE13" s="67">
        <v>21.52</v>
      </c>
      <c r="CF13" s="66">
        <v>42.45</v>
      </c>
      <c r="CG13" s="67">
        <v>18.77</v>
      </c>
      <c r="CH13" s="66">
        <v>45.08</v>
      </c>
      <c r="CI13" s="67">
        <v>21.21</v>
      </c>
      <c r="CJ13" s="66">
        <v>50.04</v>
      </c>
      <c r="CK13" s="67">
        <v>20.010000000000002</v>
      </c>
      <c r="CL13" s="66">
        <v>55.62</v>
      </c>
      <c r="CM13" s="67">
        <v>21.36</v>
      </c>
      <c r="CN13" s="66">
        <v>57.93</v>
      </c>
      <c r="CO13" s="67">
        <v>22.86</v>
      </c>
      <c r="CP13" s="66">
        <v>78.09</v>
      </c>
      <c r="CQ13" s="67">
        <v>21.05</v>
      </c>
      <c r="CR13" s="66">
        <v>90.65</v>
      </c>
      <c r="CS13" s="67">
        <v>16.2</v>
      </c>
      <c r="CT13" s="66">
        <v>94.03</v>
      </c>
      <c r="CU13" s="67">
        <v>15.61</v>
      </c>
      <c r="CV13" s="67"/>
      <c r="CW13" s="67">
        <v>309.41269753717103</v>
      </c>
      <c r="CX13" s="67">
        <v>362.22076951876102</v>
      </c>
      <c r="CY13" s="67">
        <v>364.78</v>
      </c>
      <c r="CZ13" s="298">
        <v>401.9</v>
      </c>
      <c r="DA13" s="299">
        <v>462.95</v>
      </c>
      <c r="DB13" s="298">
        <v>642.29999999999995</v>
      </c>
      <c r="DC13" s="298">
        <v>791.97</v>
      </c>
      <c r="DD13" s="298">
        <v>833.23</v>
      </c>
      <c r="DE13" s="298">
        <v>796.91</v>
      </c>
      <c r="DF13" s="298">
        <v>956.32</v>
      </c>
      <c r="DG13" s="298">
        <v>1001.18</v>
      </c>
      <c r="DH13" s="298">
        <v>1188.2</v>
      </c>
      <c r="DI13" s="298">
        <v>1324.01</v>
      </c>
      <c r="DJ13" s="298">
        <v>1643.92</v>
      </c>
      <c r="DK13" s="112" t="s">
        <v>68</v>
      </c>
    </row>
    <row r="14" spans="1:115" x14ac:dyDescent="0.4">
      <c r="A14" s="64" t="s">
        <v>69</v>
      </c>
      <c r="B14" s="80">
        <v>775.59</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7.72</v>
      </c>
      <c r="BH14" s="58">
        <v>11.15</v>
      </c>
      <c r="BI14" s="58">
        <v>11.91</v>
      </c>
      <c r="BJ14" s="58">
        <v>11.77</v>
      </c>
      <c r="BK14" s="58">
        <v>10.88</v>
      </c>
      <c r="BL14" s="58">
        <v>13.28</v>
      </c>
      <c r="BM14" s="58">
        <v>13.61</v>
      </c>
      <c r="BN14" s="58">
        <v>13.29</v>
      </c>
      <c r="BO14" s="67"/>
      <c r="BP14" s="66">
        <v>21.18</v>
      </c>
      <c r="BQ14" s="67">
        <v>9.7799999999999994</v>
      </c>
      <c r="BR14" s="66">
        <v>14.22</v>
      </c>
      <c r="BS14" s="67">
        <v>17.09</v>
      </c>
      <c r="BT14" s="66">
        <v>18.41</v>
      </c>
      <c r="BU14" s="67">
        <v>16.36</v>
      </c>
      <c r="BV14" s="66">
        <v>20.96</v>
      </c>
      <c r="BW14" s="67">
        <v>13.95</v>
      </c>
      <c r="BX14" s="66">
        <v>22.28</v>
      </c>
      <c r="BY14" s="67">
        <v>14.76</v>
      </c>
      <c r="BZ14" s="66">
        <v>24.88</v>
      </c>
      <c r="CA14" s="67">
        <v>18.190000000000001</v>
      </c>
      <c r="CB14" s="66">
        <v>26.83</v>
      </c>
      <c r="CC14" s="67">
        <v>18.13</v>
      </c>
      <c r="CD14" s="66">
        <v>28</v>
      </c>
      <c r="CE14" s="67">
        <v>16.559999999999999</v>
      </c>
      <c r="CF14" s="66">
        <v>27.07</v>
      </c>
      <c r="CG14" s="67">
        <v>19.88</v>
      </c>
      <c r="CH14" s="66">
        <v>30.29</v>
      </c>
      <c r="CI14" s="67">
        <v>21.06</v>
      </c>
      <c r="CJ14" s="66">
        <v>37.43</v>
      </c>
      <c r="CK14" s="67">
        <v>14.48</v>
      </c>
      <c r="CL14" s="66">
        <v>35.479999999999997</v>
      </c>
      <c r="CM14" s="67">
        <v>19.38</v>
      </c>
      <c r="CN14" s="66">
        <v>13.59</v>
      </c>
      <c r="CO14" s="67">
        <v>55.14</v>
      </c>
      <c r="CP14" s="66">
        <v>31.88</v>
      </c>
      <c r="CQ14" s="67">
        <v>28.07</v>
      </c>
      <c r="CR14" s="66">
        <v>42.54</v>
      </c>
      <c r="CS14" s="67">
        <v>18.23</v>
      </c>
      <c r="CT14" s="66">
        <v>51.06</v>
      </c>
      <c r="CU14" s="67">
        <v>15.19</v>
      </c>
      <c r="CV14" s="67"/>
      <c r="CW14" s="67">
        <v>207.209458244704</v>
      </c>
      <c r="CX14" s="67">
        <v>242.991959108782</v>
      </c>
      <c r="CY14" s="67">
        <v>301.12</v>
      </c>
      <c r="CZ14" s="298">
        <v>292.32</v>
      </c>
      <c r="DA14" s="299">
        <v>328.75</v>
      </c>
      <c r="DB14" s="298">
        <v>452.46</v>
      </c>
      <c r="DC14" s="298">
        <v>486.47</v>
      </c>
      <c r="DD14" s="298">
        <v>463.53</v>
      </c>
      <c r="DE14" s="298">
        <v>538.07000000000005</v>
      </c>
      <c r="DF14" s="298">
        <v>637.80999999999995</v>
      </c>
      <c r="DG14" s="298">
        <v>542.16</v>
      </c>
      <c r="DH14" s="298">
        <v>687.6</v>
      </c>
      <c r="DI14" s="298">
        <v>749.54</v>
      </c>
      <c r="DJ14" s="298">
        <v>894.96</v>
      </c>
      <c r="DK14" s="112" t="s">
        <v>69</v>
      </c>
    </row>
    <row r="15" spans="1:115" x14ac:dyDescent="0.4">
      <c r="A15" s="64" t="s">
        <v>70</v>
      </c>
      <c r="B15" s="80">
        <v>2322.64</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25.48</v>
      </c>
      <c r="BH15" s="58">
        <v>24.93</v>
      </c>
      <c r="BI15" s="58">
        <v>27.21</v>
      </c>
      <c r="BJ15" s="58">
        <v>32.5</v>
      </c>
      <c r="BK15" s="58">
        <v>28.99</v>
      </c>
      <c r="BL15" s="58">
        <v>28.91</v>
      </c>
      <c r="BM15" s="58">
        <v>30.7</v>
      </c>
      <c r="BN15" s="58">
        <v>36.04</v>
      </c>
      <c r="BO15" s="67"/>
      <c r="BP15" s="66">
        <v>16.12</v>
      </c>
      <c r="BQ15" s="67">
        <v>14.38</v>
      </c>
      <c r="BR15" s="66">
        <v>17.48</v>
      </c>
      <c r="BS15" s="67">
        <v>21.21</v>
      </c>
      <c r="BT15" s="66">
        <v>26.25</v>
      </c>
      <c r="BU15" s="67">
        <v>15.41</v>
      </c>
      <c r="BV15" s="66">
        <v>31.44</v>
      </c>
      <c r="BW15" s="67">
        <v>13.04</v>
      </c>
      <c r="BX15" s="66">
        <v>32.69</v>
      </c>
      <c r="BY15" s="67">
        <v>14.19</v>
      </c>
      <c r="BZ15" s="66">
        <v>33.58</v>
      </c>
      <c r="CA15" s="67">
        <v>17.440000000000001</v>
      </c>
      <c r="CB15" s="66">
        <v>36.99</v>
      </c>
      <c r="CC15" s="67">
        <v>18.7</v>
      </c>
      <c r="CD15" s="66">
        <v>37.97</v>
      </c>
      <c r="CE15" s="67">
        <v>19</v>
      </c>
      <c r="CF15" s="66">
        <v>37.99</v>
      </c>
      <c r="CG15" s="67">
        <v>21.27</v>
      </c>
      <c r="CH15" s="66">
        <v>50.59</v>
      </c>
      <c r="CI15" s="67">
        <v>21.87</v>
      </c>
      <c r="CJ15" s="66">
        <v>63.7</v>
      </c>
      <c r="CK15" s="67">
        <v>17.079999999999998</v>
      </c>
      <c r="CL15" s="66">
        <v>62.92</v>
      </c>
      <c r="CM15" s="67">
        <v>25.6</v>
      </c>
      <c r="CN15" s="66">
        <v>67.790000000000006</v>
      </c>
      <c r="CO15" s="67">
        <v>33.799999999999997</v>
      </c>
      <c r="CP15" s="66">
        <v>93.5</v>
      </c>
      <c r="CQ15" s="67">
        <v>32.68</v>
      </c>
      <c r="CR15" s="66">
        <v>110.12</v>
      </c>
      <c r="CS15" s="67">
        <v>21.09</v>
      </c>
      <c r="CT15" s="66">
        <v>124.64</v>
      </c>
      <c r="CU15" s="67">
        <v>18.64</v>
      </c>
      <c r="CV15" s="67"/>
      <c r="CW15" s="67">
        <v>231.80951797071199</v>
      </c>
      <c r="CX15" s="67">
        <v>370.71108667205903</v>
      </c>
      <c r="CY15" s="67">
        <v>404.55</v>
      </c>
      <c r="CZ15" s="298">
        <v>409.93</v>
      </c>
      <c r="DA15" s="299">
        <v>463.82</v>
      </c>
      <c r="DB15" s="298">
        <v>585.48</v>
      </c>
      <c r="DC15" s="298">
        <v>691.95</v>
      </c>
      <c r="DD15" s="298">
        <v>721.48</v>
      </c>
      <c r="DE15" s="298">
        <v>807.95</v>
      </c>
      <c r="DF15" s="298">
        <v>1106.18</v>
      </c>
      <c r="DG15" s="298">
        <v>1088.31</v>
      </c>
      <c r="DH15" s="298">
        <v>1611.17</v>
      </c>
      <c r="DI15" s="298">
        <v>2291.2800000000002</v>
      </c>
      <c r="DJ15" s="298">
        <v>3055.45</v>
      </c>
      <c r="DK15" s="112" t="s">
        <v>70</v>
      </c>
    </row>
    <row r="16" spans="1:115" x14ac:dyDescent="0.4">
      <c r="A16" s="64" t="s">
        <v>71</v>
      </c>
      <c r="B16" s="80">
        <v>510.94</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10.64</v>
      </c>
      <c r="BI16" s="58">
        <v>9.68</v>
      </c>
      <c r="BJ16" s="58">
        <v>9.1</v>
      </c>
      <c r="BK16" s="58">
        <v>8.5500000000000007</v>
      </c>
      <c r="BL16" s="58">
        <v>9.75</v>
      </c>
      <c r="BM16" s="58">
        <v>8.89</v>
      </c>
      <c r="BN16" s="58">
        <v>8.64</v>
      </c>
      <c r="BO16" s="67"/>
      <c r="BP16" s="66">
        <v>8.09</v>
      </c>
      <c r="BQ16" s="67">
        <v>17.010000000000002</v>
      </c>
      <c r="BR16" s="66">
        <v>7.09</v>
      </c>
      <c r="BS16" s="67">
        <v>28.18</v>
      </c>
      <c r="BT16" s="66">
        <v>13.33</v>
      </c>
      <c r="BU16" s="67">
        <v>17.97</v>
      </c>
      <c r="BV16" s="66">
        <v>16.2</v>
      </c>
      <c r="BW16" s="67">
        <v>13.07</v>
      </c>
      <c r="BX16" s="66">
        <v>14.67</v>
      </c>
      <c r="BY16" s="67">
        <v>16.2</v>
      </c>
      <c r="BZ16" s="66">
        <v>14.04</v>
      </c>
      <c r="CA16" s="67">
        <v>20.78</v>
      </c>
      <c r="CB16" s="66">
        <v>15.86</v>
      </c>
      <c r="CC16" s="67">
        <v>19.25</v>
      </c>
      <c r="CD16" s="66">
        <v>8.49</v>
      </c>
      <c r="CE16" s="67">
        <v>32.229999999999997</v>
      </c>
      <c r="CF16" s="66">
        <v>13.01</v>
      </c>
      <c r="CG16" s="67">
        <v>23.99</v>
      </c>
      <c r="CH16" s="66">
        <v>17.18</v>
      </c>
      <c r="CI16" s="67">
        <v>22.05</v>
      </c>
      <c r="CJ16" s="66">
        <v>21.58</v>
      </c>
      <c r="CK16" s="67">
        <v>14.68</v>
      </c>
      <c r="CL16" s="66">
        <v>17.05</v>
      </c>
      <c r="CM16" s="67">
        <v>22.64</v>
      </c>
      <c r="CN16" s="66">
        <v>15.86</v>
      </c>
      <c r="CO16" s="67">
        <v>28.72</v>
      </c>
      <c r="CP16" s="66">
        <v>30.52</v>
      </c>
      <c r="CQ16" s="67">
        <v>18.66</v>
      </c>
      <c r="CR16" s="66">
        <v>38.49</v>
      </c>
      <c r="CS16" s="67">
        <v>13.28</v>
      </c>
      <c r="CT16" s="66">
        <v>35.83</v>
      </c>
      <c r="CU16" s="67">
        <v>14.26</v>
      </c>
      <c r="CV16" s="67"/>
      <c r="CW16" s="67">
        <v>137.58654915328501</v>
      </c>
      <c r="CX16" s="67">
        <v>199.81024150392901</v>
      </c>
      <c r="CY16" s="67">
        <v>239.61</v>
      </c>
      <c r="CZ16" s="298">
        <v>211.71</v>
      </c>
      <c r="DA16" s="299">
        <v>237.62</v>
      </c>
      <c r="DB16" s="298">
        <v>291.64</v>
      </c>
      <c r="DC16" s="298">
        <v>305.27999999999997</v>
      </c>
      <c r="DD16" s="298">
        <v>273.64</v>
      </c>
      <c r="DE16" s="298">
        <v>312.16000000000003</v>
      </c>
      <c r="DF16" s="298">
        <v>378.94</v>
      </c>
      <c r="DG16" s="298">
        <v>316.62</v>
      </c>
      <c r="DH16" s="298">
        <v>385.85</v>
      </c>
      <c r="DI16" s="298">
        <v>455.71</v>
      </c>
      <c r="DJ16" s="298">
        <v>569.63</v>
      </c>
      <c r="DK16" s="112" t="s">
        <v>71</v>
      </c>
    </row>
    <row r="17" spans="1:115" x14ac:dyDescent="0.4">
      <c r="A17" s="64" t="s">
        <v>384</v>
      </c>
      <c r="B17" s="80">
        <v>193.92</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2.9</v>
      </c>
      <c r="BI17" s="58">
        <v>3.03</v>
      </c>
      <c r="BJ17" s="58">
        <v>3.35</v>
      </c>
      <c r="BK17" s="58">
        <v>3.19</v>
      </c>
      <c r="BL17" s="58">
        <v>3.3</v>
      </c>
      <c r="BM17" s="58">
        <v>3.44</v>
      </c>
      <c r="BN17" s="58">
        <v>3.78</v>
      </c>
      <c r="BO17" s="67"/>
      <c r="BP17" s="66">
        <v>8.2100000000000009</v>
      </c>
      <c r="BQ17" s="67">
        <v>13.61</v>
      </c>
      <c r="BR17" s="66">
        <v>7.22</v>
      </c>
      <c r="BS17" s="67">
        <v>15.88</v>
      </c>
      <c r="BT17" s="66">
        <v>7.36</v>
      </c>
      <c r="BU17" s="67">
        <v>17.5</v>
      </c>
      <c r="BV17" s="66">
        <v>6.85</v>
      </c>
      <c r="BW17" s="67">
        <v>18.95</v>
      </c>
      <c r="BX17" s="66">
        <v>3.38</v>
      </c>
      <c r="BY17" s="67">
        <v>43.26</v>
      </c>
      <c r="BZ17" s="66">
        <v>12.31</v>
      </c>
      <c r="CA17" s="67">
        <v>12.63</v>
      </c>
      <c r="CB17" s="66">
        <v>7.21</v>
      </c>
      <c r="CC17" s="67">
        <v>21.16</v>
      </c>
      <c r="CD17" s="66">
        <v>12.15</v>
      </c>
      <c r="CE17" s="67">
        <v>12.34</v>
      </c>
      <c r="CF17" s="66">
        <v>9.86</v>
      </c>
      <c r="CG17" s="67">
        <v>17.899999999999999</v>
      </c>
      <c r="CH17" s="66">
        <v>10.18</v>
      </c>
      <c r="CI17" s="67">
        <v>16.309999999999999</v>
      </c>
      <c r="CJ17" s="66">
        <v>11.78</v>
      </c>
      <c r="CK17" s="67">
        <v>11.79</v>
      </c>
      <c r="CL17" s="66">
        <v>8.25</v>
      </c>
      <c r="CM17" s="67">
        <v>22.03</v>
      </c>
      <c r="CN17" s="66">
        <v>7.26</v>
      </c>
      <c r="CO17" s="67">
        <v>30.57</v>
      </c>
      <c r="CP17" s="66">
        <v>12.44</v>
      </c>
      <c r="CQ17" s="67">
        <v>21.5</v>
      </c>
      <c r="CR17" s="66">
        <v>12.07</v>
      </c>
      <c r="CS17" s="67">
        <v>16.07</v>
      </c>
      <c r="CT17" s="66">
        <v>13.72</v>
      </c>
      <c r="CU17" s="67">
        <v>14.14</v>
      </c>
      <c r="CV17" s="67"/>
      <c r="CW17" s="67">
        <v>111.699218145443</v>
      </c>
      <c r="CX17" s="67">
        <v>114.638431778259</v>
      </c>
      <c r="CY17" s="67">
        <v>128.74</v>
      </c>
      <c r="CZ17" s="298">
        <v>129.82</v>
      </c>
      <c r="DA17" s="299">
        <v>146.04</v>
      </c>
      <c r="DB17" s="298">
        <v>155.52000000000001</v>
      </c>
      <c r="DC17" s="298">
        <v>152.55000000000001</v>
      </c>
      <c r="DD17" s="298">
        <v>149.91</v>
      </c>
      <c r="DE17" s="298">
        <v>176.61</v>
      </c>
      <c r="DF17" s="298">
        <v>166.07</v>
      </c>
      <c r="DG17" s="298">
        <v>138.78</v>
      </c>
      <c r="DH17" s="298">
        <v>181.64</v>
      </c>
      <c r="DI17" s="298">
        <v>221.92</v>
      </c>
      <c r="DJ17" s="298">
        <v>267.48</v>
      </c>
      <c r="DK17" s="112" t="s">
        <v>384</v>
      </c>
    </row>
    <row r="18" spans="1:115" x14ac:dyDescent="0.4">
      <c r="A18" s="64" t="s">
        <v>72</v>
      </c>
      <c r="B18" s="80">
        <v>361.78</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4.6500000000000004</v>
      </c>
      <c r="BH18" s="58">
        <v>3.74</v>
      </c>
      <c r="BI18" s="58">
        <v>5.44</v>
      </c>
      <c r="BJ18" s="58">
        <v>3.52</v>
      </c>
      <c r="BK18" s="58">
        <v>4.76</v>
      </c>
      <c r="BL18" s="58">
        <v>3.96</v>
      </c>
      <c r="BM18" s="58">
        <v>5.82</v>
      </c>
      <c r="BN18" s="58">
        <v>4.12</v>
      </c>
      <c r="BO18" s="67"/>
      <c r="BP18" s="66">
        <v>12.25</v>
      </c>
      <c r="BQ18" s="67">
        <v>12.08</v>
      </c>
      <c r="BR18" s="66">
        <v>11.5</v>
      </c>
      <c r="BS18" s="67">
        <v>13.74</v>
      </c>
      <c r="BT18" s="66">
        <v>12.34</v>
      </c>
      <c r="BU18" s="67">
        <v>12.92</v>
      </c>
      <c r="BV18" s="66">
        <v>12.47</v>
      </c>
      <c r="BW18" s="67">
        <v>14.67</v>
      </c>
      <c r="BX18" s="66">
        <v>11.97</v>
      </c>
      <c r="BY18" s="67">
        <v>14.85</v>
      </c>
      <c r="BZ18" s="66">
        <v>12.15</v>
      </c>
      <c r="CA18" s="67">
        <v>15.91</v>
      </c>
      <c r="CB18" s="66">
        <v>13.22</v>
      </c>
      <c r="CC18" s="67">
        <v>18.16</v>
      </c>
      <c r="CD18" s="66">
        <v>11.25</v>
      </c>
      <c r="CE18" s="67">
        <v>19.55</v>
      </c>
      <c r="CF18" s="66">
        <v>13.67</v>
      </c>
      <c r="CG18" s="67">
        <v>18.05</v>
      </c>
      <c r="CH18" s="66">
        <v>14.53</v>
      </c>
      <c r="CI18" s="67">
        <v>18.399999999999999</v>
      </c>
      <c r="CJ18" s="66">
        <v>15.41</v>
      </c>
      <c r="CK18" s="67">
        <v>17.43</v>
      </c>
      <c r="CL18" s="66">
        <v>15.66</v>
      </c>
      <c r="CM18" s="67">
        <v>20.97</v>
      </c>
      <c r="CN18" s="66">
        <v>15.6</v>
      </c>
      <c r="CO18" s="67">
        <v>20.46</v>
      </c>
      <c r="CP18" s="66">
        <v>15.27</v>
      </c>
      <c r="CQ18" s="67">
        <v>23.82</v>
      </c>
      <c r="CR18" s="66">
        <v>17.34</v>
      </c>
      <c r="CS18" s="67">
        <v>20.86</v>
      </c>
      <c r="CT18" s="66">
        <v>18.66</v>
      </c>
      <c r="CU18" s="67">
        <v>19.39</v>
      </c>
      <c r="CV18" s="67"/>
      <c r="CW18" s="67">
        <v>147.93465290177599</v>
      </c>
      <c r="CX18" s="67">
        <v>157.98969503421301</v>
      </c>
      <c r="CY18" s="67">
        <v>159.34</v>
      </c>
      <c r="CZ18" s="298">
        <v>182.98</v>
      </c>
      <c r="DA18" s="299">
        <v>177.66</v>
      </c>
      <c r="DB18" s="298">
        <v>193.21</v>
      </c>
      <c r="DC18" s="298">
        <v>240.14</v>
      </c>
      <c r="DD18" s="298">
        <v>220</v>
      </c>
      <c r="DE18" s="298">
        <v>246.83</v>
      </c>
      <c r="DF18" s="298">
        <v>267.37</v>
      </c>
      <c r="DG18" s="298">
        <v>268.61</v>
      </c>
      <c r="DH18" s="298">
        <v>328.36</v>
      </c>
      <c r="DI18" s="298">
        <v>319.07</v>
      </c>
      <c r="DJ18" s="298">
        <v>363.71</v>
      </c>
      <c r="DK18" s="112" t="s">
        <v>72</v>
      </c>
    </row>
    <row r="19" spans="1:115" x14ac:dyDescent="0.4">
      <c r="A19" s="64" t="s">
        <v>310</v>
      </c>
      <c r="B19" s="80">
        <v>260.89</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1.63</v>
      </c>
      <c r="BI19" s="58">
        <v>1.72</v>
      </c>
      <c r="BJ19" s="58">
        <v>1.67</v>
      </c>
      <c r="BK19" s="58">
        <v>1.62</v>
      </c>
      <c r="BL19" s="58">
        <v>1.93</v>
      </c>
      <c r="BM19" s="58">
        <v>1.78</v>
      </c>
      <c r="BN19" s="58">
        <v>1.9</v>
      </c>
      <c r="BO19" s="67"/>
      <c r="BP19" s="66">
        <f>SUM(C19:F19)</f>
        <v>1.79</v>
      </c>
      <c r="BQ19" s="67">
        <f>CW19/BP19</f>
        <v>43.558659217877093</v>
      </c>
      <c r="BR19" s="66">
        <f>SUM(G19:J19)</f>
        <v>0.98999999999999988</v>
      </c>
      <c r="BS19" s="67">
        <f>CX19/BR19</f>
        <v>95.131313131313149</v>
      </c>
      <c r="BT19" s="66">
        <f>SUM(K19:N19)</f>
        <v>1.3230000000000002</v>
      </c>
      <c r="BU19" s="67">
        <f>CY19/BT19</f>
        <v>91.141345427059704</v>
      </c>
      <c r="BV19" s="66">
        <f>SUM(O19:R19)</f>
        <v>2.4870000000000001</v>
      </c>
      <c r="BW19" s="67">
        <f>CZ19/BV19</f>
        <v>52.33212706071572</v>
      </c>
      <c r="BX19" s="66">
        <f>SUM(S19:V19)</f>
        <v>3.13</v>
      </c>
      <c r="BY19" s="67">
        <f>DA19/BX19</f>
        <v>48.325878594249197</v>
      </c>
      <c r="BZ19" s="66">
        <v>3.31</v>
      </c>
      <c r="CA19" s="67">
        <v>44.95</v>
      </c>
      <c r="CB19" s="66">
        <v>5.34</v>
      </c>
      <c r="CC19" s="67">
        <v>35.22</v>
      </c>
      <c r="CD19" s="66">
        <v>5.45</v>
      </c>
      <c r="CE19" s="67">
        <v>34.89</v>
      </c>
      <c r="CF19" s="66">
        <v>7.38</v>
      </c>
      <c r="CG19" s="67">
        <v>25.78</v>
      </c>
      <c r="CH19" s="66">
        <v>5.6</v>
      </c>
      <c r="CI19" s="67">
        <v>36.380000000000003</v>
      </c>
      <c r="CJ19" s="66">
        <v>6.4</v>
      </c>
      <c r="CK19" s="67">
        <v>30.07</v>
      </c>
      <c r="CL19" s="66">
        <v>7</v>
      </c>
      <c r="CM19" s="67">
        <v>34.33</v>
      </c>
      <c r="CN19" s="66">
        <v>5.28</v>
      </c>
      <c r="CO19" s="67">
        <v>43.17</v>
      </c>
      <c r="CP19" s="66">
        <v>8</v>
      </c>
      <c r="CQ19" s="67">
        <v>40.590000000000003</v>
      </c>
      <c r="CR19" s="66">
        <v>7.07</v>
      </c>
      <c r="CS19" s="67">
        <v>36.880000000000003</v>
      </c>
      <c r="CT19" s="66">
        <v>7.22</v>
      </c>
      <c r="CU19" s="67">
        <v>36.119999999999997</v>
      </c>
      <c r="CV19" s="67"/>
      <c r="CW19" s="67">
        <v>77.97</v>
      </c>
      <c r="CX19" s="67">
        <v>94.18</v>
      </c>
      <c r="CY19" s="67">
        <v>120.58</v>
      </c>
      <c r="CZ19" s="298">
        <v>130.15</v>
      </c>
      <c r="DA19" s="298">
        <v>151.26</v>
      </c>
      <c r="DB19" s="298">
        <v>148.94999999999999</v>
      </c>
      <c r="DC19" s="298">
        <v>187.89</v>
      </c>
      <c r="DD19" s="298">
        <v>190.22</v>
      </c>
      <c r="DE19" s="298">
        <v>190.23</v>
      </c>
      <c r="DF19" s="298">
        <v>203.86</v>
      </c>
      <c r="DG19" s="298">
        <v>192.36</v>
      </c>
      <c r="DH19" s="298">
        <v>240.32</v>
      </c>
      <c r="DI19" s="298">
        <v>227.9</v>
      </c>
      <c r="DJ19" s="298">
        <v>324.75</v>
      </c>
      <c r="DK19" s="112" t="str">
        <f>A19</f>
        <v>S&amp;P 500 Real Estate (proforma pre-9/19/16)</v>
      </c>
    </row>
    <row r="20" spans="1:115" x14ac:dyDescent="0.4">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67"/>
      <c r="BQ20" s="67"/>
      <c r="BS20" s="67"/>
      <c r="BU20" s="67"/>
      <c r="BW20" s="67"/>
      <c r="BY20" s="67"/>
      <c r="CA20" s="67"/>
      <c r="CC20" s="67"/>
      <c r="CE20" s="67"/>
      <c r="CG20" s="67"/>
      <c r="CH20" s="66"/>
      <c r="CI20" s="67"/>
      <c r="CJ20" s="66"/>
      <c r="CK20" s="67"/>
      <c r="CL20" s="66"/>
      <c r="CM20" s="67"/>
      <c r="CN20" s="66"/>
      <c r="CO20" s="67"/>
      <c r="CP20" s="66"/>
      <c r="CQ20" s="67"/>
      <c r="CR20" s="66"/>
      <c r="CS20" s="67"/>
      <c r="CT20" s="66"/>
      <c r="CU20" s="67"/>
      <c r="CV20" s="67"/>
      <c r="DB20" s="298"/>
      <c r="DC20" s="298"/>
      <c r="DD20" s="298"/>
      <c r="DE20" s="298"/>
      <c r="DF20" s="298"/>
      <c r="DG20" s="298"/>
      <c r="DH20" s="298"/>
      <c r="DI20" s="298"/>
    </row>
    <row r="21" spans="1:115" x14ac:dyDescent="0.4">
      <c r="A21" s="64" t="s">
        <v>73</v>
      </c>
      <c r="B21" s="80">
        <v>2348.0100000000002</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39.369999999999997</v>
      </c>
      <c r="BH21" s="58">
        <v>47.19</v>
      </c>
      <c r="BI21" s="58">
        <v>48.94</v>
      </c>
      <c r="BJ21" s="58">
        <v>50.1</v>
      </c>
      <c r="BK21" s="58">
        <v>48.44</v>
      </c>
      <c r="BL21" s="58">
        <v>50.61</v>
      </c>
      <c r="BM21" s="58">
        <v>52.91</v>
      </c>
      <c r="BN21" s="58">
        <v>54.6</v>
      </c>
      <c r="BO21" s="67"/>
      <c r="BP21" s="66">
        <v>30.05</v>
      </c>
      <c r="BQ21" s="67">
        <v>17.91</v>
      </c>
      <c r="BR21" s="66">
        <v>27.59</v>
      </c>
      <c r="BS21" s="67">
        <v>26.34</v>
      </c>
      <c r="BT21" s="66">
        <v>43.92</v>
      </c>
      <c r="BU21" s="67">
        <v>20.66</v>
      </c>
      <c r="BV21" s="66">
        <v>50.31</v>
      </c>
      <c r="BW21" s="67">
        <v>17.48</v>
      </c>
      <c r="BX21" s="66">
        <v>54.54</v>
      </c>
      <c r="BY21" s="67">
        <v>18.71</v>
      </c>
      <c r="BZ21" s="66">
        <v>60</v>
      </c>
      <c r="CA21" s="67">
        <v>22.38</v>
      </c>
      <c r="CB21" s="66">
        <v>58.87</v>
      </c>
      <c r="CC21" s="67">
        <v>24.67</v>
      </c>
      <c r="CD21" s="66">
        <v>55.49</v>
      </c>
      <c r="CE21" s="67">
        <v>25.2</v>
      </c>
      <c r="CF21" s="66">
        <v>64.53</v>
      </c>
      <c r="CG21" s="67">
        <v>25.73</v>
      </c>
      <c r="CH21" s="66">
        <v>78.12</v>
      </c>
      <c r="CI21" s="67">
        <v>24.33</v>
      </c>
      <c r="CJ21" s="66">
        <v>95.98</v>
      </c>
      <c r="CK21" s="67">
        <v>17.329999999999998</v>
      </c>
      <c r="CL21" s="66">
        <v>94.98</v>
      </c>
      <c r="CM21" s="67">
        <v>21.72</v>
      </c>
      <c r="CN21" s="66">
        <v>74.17</v>
      </c>
      <c r="CO21" s="67">
        <v>31.1</v>
      </c>
      <c r="CP21" s="66">
        <v>153.84</v>
      </c>
      <c r="CQ21" s="67">
        <v>18.47</v>
      </c>
      <c r="CR21" s="66">
        <v>185.59</v>
      </c>
      <c r="CS21" s="67">
        <v>12.65</v>
      </c>
      <c r="CT21" s="66">
        <v>206.57</v>
      </c>
      <c r="CU21" s="67">
        <v>11.37</v>
      </c>
      <c r="CV21" s="67"/>
      <c r="CW21" s="304">
        <v>538.27930100000003</v>
      </c>
      <c r="CX21" s="304">
        <v>726.67478400000005</v>
      </c>
      <c r="CY21" s="304">
        <v>907.24987321098399</v>
      </c>
      <c r="CZ21" s="298">
        <v>879.16</v>
      </c>
      <c r="DA21" s="299">
        <v>1020.43</v>
      </c>
      <c r="DB21" s="298">
        <v>1342.53</v>
      </c>
      <c r="DC21" s="298">
        <v>1452.44</v>
      </c>
      <c r="DD21" s="298">
        <v>1398.58</v>
      </c>
      <c r="DE21" s="298">
        <v>1660.58</v>
      </c>
      <c r="DF21" s="298">
        <v>1900.57</v>
      </c>
      <c r="DG21" s="298">
        <v>1663.04</v>
      </c>
      <c r="DH21" s="298">
        <v>2063.02</v>
      </c>
      <c r="DI21" s="298">
        <v>2306.62</v>
      </c>
      <c r="DJ21" s="298">
        <v>2842</v>
      </c>
      <c r="DK21" s="112" t="s">
        <v>73</v>
      </c>
    </row>
    <row r="22" spans="1:115" x14ac:dyDescent="0.4">
      <c r="A22" s="64" t="s">
        <v>74</v>
      </c>
      <c r="B22" s="80">
        <v>981.43</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20.440000000000001</v>
      </c>
      <c r="BH22" s="58">
        <v>23.89</v>
      </c>
      <c r="BI22" s="58">
        <v>25.88</v>
      </c>
      <c r="BJ22" s="58">
        <v>29</v>
      </c>
      <c r="BK22" s="58">
        <v>24.47</v>
      </c>
      <c r="BL22" s="58">
        <v>27.92</v>
      </c>
      <c r="BM22" s="58">
        <v>30.13</v>
      </c>
      <c r="BN22" s="58">
        <v>33.380000000000003</v>
      </c>
      <c r="BO22" s="67"/>
      <c r="BP22" s="66">
        <v>6.39</v>
      </c>
      <c r="BQ22" s="67">
        <v>28.11</v>
      </c>
      <c r="BR22" s="66">
        <v>12.14</v>
      </c>
      <c r="BS22" s="67">
        <v>22.69</v>
      </c>
      <c r="BT22" s="66">
        <v>18.02</v>
      </c>
      <c r="BU22" s="67">
        <v>20.02</v>
      </c>
      <c r="BV22" s="66">
        <v>19.73</v>
      </c>
      <c r="BW22" s="67">
        <v>18.510000000000002</v>
      </c>
      <c r="BX22" s="66">
        <v>24.4</v>
      </c>
      <c r="BY22" s="67">
        <v>18.2</v>
      </c>
      <c r="BZ22" s="66">
        <v>26.88</v>
      </c>
      <c r="CA22" s="67">
        <v>23.25</v>
      </c>
      <c r="CB22" s="66">
        <v>30.2</v>
      </c>
      <c r="CC22" s="67">
        <v>22.76</v>
      </c>
      <c r="CD22" s="66">
        <v>32.67</v>
      </c>
      <c r="CE22" s="67">
        <v>19.11</v>
      </c>
      <c r="CF22" s="66">
        <v>37.97</v>
      </c>
      <c r="CG22" s="67">
        <v>17.78</v>
      </c>
      <c r="CH22" s="66">
        <v>42.42</v>
      </c>
      <c r="CI22" s="67">
        <v>18.760000000000002</v>
      </c>
      <c r="CJ22" s="66">
        <v>51.29</v>
      </c>
      <c r="CK22" s="67">
        <v>12.55</v>
      </c>
      <c r="CL22" s="66">
        <v>38.409999999999997</v>
      </c>
      <c r="CM22" s="67">
        <v>20.91</v>
      </c>
      <c r="CN22" s="66">
        <v>34.31</v>
      </c>
      <c r="CO22" s="67">
        <v>30.38</v>
      </c>
      <c r="CP22" s="66">
        <v>94.93</v>
      </c>
      <c r="CQ22" s="67">
        <v>13.92</v>
      </c>
      <c r="CR22" s="66">
        <v>99.22</v>
      </c>
      <c r="CS22" s="67">
        <v>9.89</v>
      </c>
      <c r="CT22" s="66">
        <v>115.89</v>
      </c>
      <c r="CU22" s="67">
        <v>8.4700000000000006</v>
      </c>
      <c r="CV22" s="67"/>
      <c r="CW22" s="304">
        <v>179.63314700000001</v>
      </c>
      <c r="CX22" s="304">
        <v>275.42848900000001</v>
      </c>
      <c r="CY22" s="304">
        <v>360.78854314944198</v>
      </c>
      <c r="CZ22" s="298">
        <v>365.27</v>
      </c>
      <c r="DA22" s="299">
        <v>443.95</v>
      </c>
      <c r="DB22" s="298">
        <v>624.88</v>
      </c>
      <c r="DC22" s="298">
        <v>687.24</v>
      </c>
      <c r="DD22" s="298">
        <v>624.30999999999995</v>
      </c>
      <c r="DE22" s="298">
        <v>675.16</v>
      </c>
      <c r="DF22" s="298">
        <v>795.66</v>
      </c>
      <c r="DG22" s="298">
        <v>643.38</v>
      </c>
      <c r="DH22" s="298">
        <v>802.99</v>
      </c>
      <c r="DI22" s="298">
        <v>1042.5999999999999</v>
      </c>
      <c r="DJ22" s="298">
        <v>1321.37</v>
      </c>
      <c r="DK22" s="112" t="s">
        <v>74</v>
      </c>
    </row>
    <row r="23" spans="1:115" x14ac:dyDescent="0.4">
      <c r="A23" s="64" t="s">
        <v>75</v>
      </c>
      <c r="B23" s="80">
        <v>2081.19</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31.07</v>
      </c>
      <c r="BH23" s="58">
        <v>36.21</v>
      </c>
      <c r="BI23" s="58">
        <v>35.01</v>
      </c>
      <c r="BJ23" s="58">
        <v>31.09</v>
      </c>
      <c r="BK23" s="58">
        <v>33.32</v>
      </c>
      <c r="BL23" s="58">
        <v>39.78</v>
      </c>
      <c r="BM23" s="58">
        <v>40.61</v>
      </c>
      <c r="BN23" s="58">
        <v>35.229999999999997</v>
      </c>
      <c r="BO23" s="67"/>
      <c r="BP23" s="66">
        <v>28.68</v>
      </c>
      <c r="BQ23" s="67">
        <v>14.56</v>
      </c>
      <c r="BR23" s="66">
        <v>31.18</v>
      </c>
      <c r="BS23" s="67">
        <v>15.9</v>
      </c>
      <c r="BT23" s="66">
        <v>39.299999999999997</v>
      </c>
      <c r="BU23" s="67">
        <v>15.77</v>
      </c>
      <c r="BV23" s="66">
        <v>46.09</v>
      </c>
      <c r="BW23" s="67">
        <v>16.309999999999999</v>
      </c>
      <c r="BX23" s="66">
        <v>51.35</v>
      </c>
      <c r="BY23" s="67">
        <v>16.8</v>
      </c>
      <c r="BZ23" s="66">
        <v>55.29</v>
      </c>
      <c r="CA23" s="67">
        <v>21.38</v>
      </c>
      <c r="CB23" s="66">
        <v>56.47</v>
      </c>
      <c r="CC23" s="67">
        <v>27.94</v>
      </c>
      <c r="CD23" s="66">
        <v>71.73</v>
      </c>
      <c r="CE23" s="67">
        <v>20.99</v>
      </c>
      <c r="CF23" s="66">
        <v>70.41</v>
      </c>
      <c r="CG23" s="67">
        <v>24.01</v>
      </c>
      <c r="CH23" s="66">
        <v>73.569999999999993</v>
      </c>
      <c r="CI23" s="67">
        <v>23.47</v>
      </c>
      <c r="CJ23" s="66">
        <v>82.88</v>
      </c>
      <c r="CK23" s="67">
        <v>19.12</v>
      </c>
      <c r="CL23" s="66">
        <v>75.55</v>
      </c>
      <c r="CM23" s="67">
        <v>22.96</v>
      </c>
      <c r="CN23" s="66">
        <v>95.23</v>
      </c>
      <c r="CO23" s="67">
        <v>22.04</v>
      </c>
      <c r="CP23" s="66">
        <v>118.55</v>
      </c>
      <c r="CQ23" s="67">
        <v>19.329999999999998</v>
      </c>
      <c r="CR23" s="66">
        <v>133.37</v>
      </c>
      <c r="CS23" s="67">
        <v>15.6</v>
      </c>
      <c r="CT23" s="66">
        <v>148.94999999999999</v>
      </c>
      <c r="CU23" s="67">
        <v>13.97</v>
      </c>
      <c r="CV23" s="67"/>
      <c r="CW23" s="304">
        <v>417.55613299999999</v>
      </c>
      <c r="CX23" s="304">
        <v>495.715306</v>
      </c>
      <c r="CY23" s="304">
        <v>619.58758692758499</v>
      </c>
      <c r="CZ23" s="298">
        <v>751.72</v>
      </c>
      <c r="DA23" s="299">
        <v>862.71</v>
      </c>
      <c r="DB23" s="298">
        <v>1181.9000000000001</v>
      </c>
      <c r="DC23" s="298">
        <v>1577.72</v>
      </c>
      <c r="DD23" s="298">
        <v>1505.92</v>
      </c>
      <c r="DE23" s="298">
        <v>1690.47</v>
      </c>
      <c r="DF23" s="298">
        <v>1726.91</v>
      </c>
      <c r="DG23" s="298">
        <v>1584.38</v>
      </c>
      <c r="DH23" s="298">
        <v>1734.59</v>
      </c>
      <c r="DI23" s="298">
        <v>2098.52</v>
      </c>
      <c r="DJ23" s="298">
        <v>2291.71</v>
      </c>
      <c r="DK23" s="112" t="s">
        <v>75</v>
      </c>
    </row>
    <row r="24" spans="1:115" x14ac:dyDescent="0.4">
      <c r="A24" s="64" t="s">
        <v>76</v>
      </c>
      <c r="B24" s="80">
        <v>306.43</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8.75</v>
      </c>
      <c r="BI24" s="58">
        <v>9.02</v>
      </c>
      <c r="BJ24" s="58">
        <v>9.2200000000000006</v>
      </c>
      <c r="BK24" s="58">
        <v>11.95</v>
      </c>
      <c r="BL24" s="58">
        <v>10.36</v>
      </c>
      <c r="BM24" s="58">
        <v>10.39</v>
      </c>
      <c r="BN24" s="58">
        <v>10.41</v>
      </c>
      <c r="BO24" s="67"/>
      <c r="BP24" s="66">
        <v>16.97</v>
      </c>
      <c r="BQ24" s="67">
        <v>21.31</v>
      </c>
      <c r="BR24" s="66">
        <v>-5.2</v>
      </c>
      <c r="BS24" s="67">
        <v>-116.31</v>
      </c>
      <c r="BT24" s="66">
        <v>31.34</v>
      </c>
      <c r="BU24" s="67">
        <v>25.11</v>
      </c>
      <c r="BV24" s="66">
        <v>46.71</v>
      </c>
      <c r="BW24" s="67">
        <v>15.1</v>
      </c>
      <c r="BX24" s="66">
        <v>30.47</v>
      </c>
      <c r="BY24" s="67">
        <v>22.82</v>
      </c>
      <c r="BZ24" s="66">
        <v>32.99</v>
      </c>
      <c r="CA24" s="67">
        <v>26.58</v>
      </c>
      <c r="CB24" s="66">
        <v>27.67</v>
      </c>
      <c r="CC24" s="67">
        <v>23.36</v>
      </c>
      <c r="CD24" s="66">
        <v>-99.43</v>
      </c>
      <c r="CE24" s="67">
        <v>-4.29</v>
      </c>
      <c r="CF24" s="66">
        <v>-53.1</v>
      </c>
      <c r="CG24" s="67">
        <v>-9.56</v>
      </c>
      <c r="CH24" s="66">
        <v>-1.6</v>
      </c>
      <c r="CI24" s="67">
        <v>-264.31</v>
      </c>
      <c r="CJ24" s="66">
        <v>-1.33</v>
      </c>
      <c r="CK24" s="67">
        <v>-222.86</v>
      </c>
      <c r="CL24" s="66">
        <v>-2.12</v>
      </c>
      <c r="CM24" s="67">
        <v>-119.57</v>
      </c>
      <c r="CN24" s="66">
        <v>-24.14</v>
      </c>
      <c r="CO24" s="67">
        <v>-6.25</v>
      </c>
      <c r="CP24" s="66">
        <v>-0.01</v>
      </c>
      <c r="CQ24" s="67">
        <v>-23805.25</v>
      </c>
      <c r="CR24" s="66">
        <v>18.43</v>
      </c>
      <c r="CS24" s="67">
        <v>16.63</v>
      </c>
      <c r="CT24" s="66">
        <v>43.11</v>
      </c>
      <c r="CU24" s="67">
        <v>7.11</v>
      </c>
      <c r="CV24" s="67"/>
      <c r="CW24" s="304">
        <v>361.64458400000001</v>
      </c>
      <c r="CX24" s="304">
        <v>604.81454900000006</v>
      </c>
      <c r="CY24" s="304">
        <v>786.99419431210197</v>
      </c>
      <c r="CZ24" s="298">
        <v>705.18</v>
      </c>
      <c r="DA24" s="299">
        <v>695.36</v>
      </c>
      <c r="DB24" s="298">
        <v>877.03</v>
      </c>
      <c r="DC24" s="298">
        <v>646.46</v>
      </c>
      <c r="DD24" s="298">
        <v>426.16</v>
      </c>
      <c r="DE24" s="298">
        <v>507.43</v>
      </c>
      <c r="DF24" s="298">
        <v>422.18</v>
      </c>
      <c r="DG24" s="298">
        <v>295.61</v>
      </c>
      <c r="DH24" s="298">
        <v>253.5</v>
      </c>
      <c r="DI24" s="298">
        <v>150.81</v>
      </c>
      <c r="DJ24" s="298">
        <v>245.43</v>
      </c>
      <c r="DK24" s="112" t="s">
        <v>76</v>
      </c>
    </row>
    <row r="25" spans="1:115" x14ac:dyDescent="0.4">
      <c r="A25" s="64" t="s">
        <v>77</v>
      </c>
      <c r="B25" s="80">
        <v>1135.3699999999999</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24.12</v>
      </c>
      <c r="BH25" s="58">
        <v>27.8</v>
      </c>
      <c r="BI25" s="58">
        <v>28.29</v>
      </c>
      <c r="BJ25" s="58">
        <v>30.92</v>
      </c>
      <c r="BK25" s="58">
        <v>30.63</v>
      </c>
      <c r="BL25" s="58">
        <v>32.01</v>
      </c>
      <c r="BM25" s="58">
        <v>32.479999999999997</v>
      </c>
      <c r="BN25" s="58">
        <v>35.14</v>
      </c>
      <c r="BO25" s="67"/>
      <c r="BP25" s="66">
        <v>6.1</v>
      </c>
      <c r="BQ25" s="67">
        <v>64.11</v>
      </c>
      <c r="BR25" s="66">
        <v>12.87</v>
      </c>
      <c r="BS25" s="67">
        <v>32.840000000000003</v>
      </c>
      <c r="BT25" s="66">
        <v>18.940000000000001</v>
      </c>
      <c r="BU25" s="67">
        <v>25.85</v>
      </c>
      <c r="BV25" s="66">
        <v>20.37</v>
      </c>
      <c r="BW25" s="67">
        <v>22.11</v>
      </c>
      <c r="BX25" s="66">
        <v>27.62</v>
      </c>
      <c r="BY25" s="67">
        <v>18.62</v>
      </c>
      <c r="BZ25" s="66">
        <v>30.78</v>
      </c>
      <c r="CA25" s="67">
        <v>20.29</v>
      </c>
      <c r="CB25" s="66">
        <v>36.39</v>
      </c>
      <c r="CC25" s="67">
        <v>19.2</v>
      </c>
      <c r="CD25" s="66">
        <v>36.33</v>
      </c>
      <c r="CE25" s="67">
        <v>19.649999999999999</v>
      </c>
      <c r="CF25" s="66">
        <v>44.82</v>
      </c>
      <c r="CG25" s="67">
        <v>20.149999999999999</v>
      </c>
      <c r="CH25" s="66">
        <v>51.81</v>
      </c>
      <c r="CI25" s="67">
        <v>19.510000000000002</v>
      </c>
      <c r="CJ25" s="66">
        <v>62.64</v>
      </c>
      <c r="CK25" s="67">
        <v>13.29</v>
      </c>
      <c r="CL25" s="66">
        <v>81.75</v>
      </c>
      <c r="CM25" s="67">
        <v>12.58</v>
      </c>
      <c r="CN25" s="66">
        <v>68.430000000000007</v>
      </c>
      <c r="CO25" s="67">
        <v>14.37</v>
      </c>
      <c r="CP25" s="66">
        <v>112.88</v>
      </c>
      <c r="CQ25" s="67">
        <v>11.36</v>
      </c>
      <c r="CR25" s="66">
        <v>111.13</v>
      </c>
      <c r="CS25" s="67">
        <v>10.220000000000001</v>
      </c>
      <c r="CT25" s="66">
        <v>130.26</v>
      </c>
      <c r="CU25" s="67">
        <v>8.7200000000000006</v>
      </c>
      <c r="CV25" s="67"/>
      <c r="CW25" s="304">
        <v>391.04396000000003</v>
      </c>
      <c r="CX25" s="304">
        <v>422.69019600000001</v>
      </c>
      <c r="CY25" s="304">
        <v>489.730853141198</v>
      </c>
      <c r="CZ25" s="298">
        <v>450.51</v>
      </c>
      <c r="DA25" s="299">
        <v>514.14</v>
      </c>
      <c r="DB25" s="298">
        <v>624.6</v>
      </c>
      <c r="DC25" s="298">
        <v>698.47</v>
      </c>
      <c r="DD25" s="298">
        <v>713.89</v>
      </c>
      <c r="DE25" s="298">
        <v>902.91</v>
      </c>
      <c r="DF25" s="298">
        <v>1010.74</v>
      </c>
      <c r="DG25" s="298">
        <v>832.55</v>
      </c>
      <c r="DH25" s="298">
        <v>1028.1099999999999</v>
      </c>
      <c r="DI25" s="298">
        <v>983.43</v>
      </c>
      <c r="DJ25" s="298">
        <v>1282.02</v>
      </c>
      <c r="DK25" s="112" t="s">
        <v>77</v>
      </c>
    </row>
    <row r="26" spans="1:115" x14ac:dyDescent="0.4">
      <c r="A26" s="64" t="s">
        <v>78</v>
      </c>
      <c r="B26" s="80">
        <v>2287.1</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29.53</v>
      </c>
      <c r="BH26" s="58">
        <v>26.6</v>
      </c>
      <c r="BI26" s="58">
        <v>28.01</v>
      </c>
      <c r="BJ26" s="58">
        <v>30.75</v>
      </c>
      <c r="BK26" s="58">
        <v>25.42</v>
      </c>
      <c r="BL26" s="58">
        <v>28.15</v>
      </c>
      <c r="BM26" s="58">
        <v>29.79</v>
      </c>
      <c r="BN26" s="58">
        <v>36.729999999999997</v>
      </c>
      <c r="BO26" s="67"/>
      <c r="BP26" s="66">
        <v>19.48</v>
      </c>
      <c r="BQ26" s="67">
        <v>15.13</v>
      </c>
      <c r="BR26" s="66">
        <v>15.76</v>
      </c>
      <c r="BS26" s="67">
        <v>25.18</v>
      </c>
      <c r="BT26" s="66">
        <v>20.63</v>
      </c>
      <c r="BU26" s="67">
        <v>23.58</v>
      </c>
      <c r="BV26" s="66">
        <v>28.52</v>
      </c>
      <c r="BW26" s="67">
        <v>17.170000000000002</v>
      </c>
      <c r="BX26" s="66">
        <v>29.14</v>
      </c>
      <c r="BY26" s="67">
        <v>21.23</v>
      </c>
      <c r="BZ26" s="66">
        <v>30.61</v>
      </c>
      <c r="CA26" s="67">
        <v>29.4</v>
      </c>
      <c r="CB26" s="66">
        <v>38.58</v>
      </c>
      <c r="CC26" s="67">
        <v>28.75</v>
      </c>
      <c r="CD26" s="66">
        <v>49.94</v>
      </c>
      <c r="CE26" s="67">
        <v>24.18</v>
      </c>
      <c r="CF26" s="66">
        <v>49.91</v>
      </c>
      <c r="CG26" s="67">
        <v>26.19</v>
      </c>
      <c r="CH26" s="66">
        <v>51.61</v>
      </c>
      <c r="CI26" s="67">
        <v>30.96</v>
      </c>
      <c r="CJ26" s="66">
        <v>59.37</v>
      </c>
      <c r="CK26" s="67">
        <v>28.57</v>
      </c>
      <c r="CL26" s="66">
        <v>82.67</v>
      </c>
      <c r="CM26" s="67">
        <v>25.1</v>
      </c>
      <c r="CN26" s="66">
        <v>75.56</v>
      </c>
      <c r="CO26" s="67">
        <v>35.700000000000003</v>
      </c>
      <c r="CP26" s="66">
        <v>84.52</v>
      </c>
      <c r="CQ26" s="67">
        <v>35.49</v>
      </c>
      <c r="CR26" s="66">
        <v>114.9</v>
      </c>
      <c r="CS26" s="67">
        <v>19.91</v>
      </c>
      <c r="CT26" s="66">
        <v>120.1</v>
      </c>
      <c r="CU26" s="67">
        <v>19.04</v>
      </c>
      <c r="CV26" s="67"/>
      <c r="CW26" s="304">
        <v>294.701729</v>
      </c>
      <c r="CX26" s="304">
        <v>396.845347</v>
      </c>
      <c r="CY26" s="304">
        <v>486.41714820689998</v>
      </c>
      <c r="CZ26" s="298">
        <v>489.76</v>
      </c>
      <c r="DA26" s="299">
        <v>618.70000000000005</v>
      </c>
      <c r="DB26" s="298">
        <v>899.75</v>
      </c>
      <c r="DC26" s="298">
        <v>1109.24</v>
      </c>
      <c r="DD26" s="298">
        <v>1207.49</v>
      </c>
      <c r="DE26" s="298">
        <v>1307.22</v>
      </c>
      <c r="DF26" s="298">
        <v>1597.71</v>
      </c>
      <c r="DG26" s="298">
        <v>1696.18</v>
      </c>
      <c r="DH26" s="298">
        <v>2074.75</v>
      </c>
      <c r="DI26" s="298">
        <v>2697.45</v>
      </c>
      <c r="DJ26" s="298">
        <v>2999.57</v>
      </c>
      <c r="DK26" s="112" t="s">
        <v>78</v>
      </c>
    </row>
    <row r="27" spans="1:115" x14ac:dyDescent="0.4">
      <c r="A27" s="64" t="s">
        <v>79</v>
      </c>
      <c r="B27" s="80">
        <v>1334.2</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19.84</v>
      </c>
      <c r="BH27" s="58">
        <v>24.76</v>
      </c>
      <c r="BI27" s="58">
        <v>26.25</v>
      </c>
      <c r="BJ27" s="58">
        <v>23.2</v>
      </c>
      <c r="BK27" s="58">
        <v>22.87</v>
      </c>
      <c r="BL27" s="58">
        <v>26.81</v>
      </c>
      <c r="BM27" s="58">
        <v>28.66</v>
      </c>
      <c r="BN27" s="58">
        <v>25.52</v>
      </c>
      <c r="BO27" s="67"/>
      <c r="BP27" s="66">
        <v>21.4</v>
      </c>
      <c r="BQ27" s="67">
        <v>11.35</v>
      </c>
      <c r="BR27" s="66">
        <v>15.18</v>
      </c>
      <c r="BS27" s="67">
        <v>20.79</v>
      </c>
      <c r="BT27" s="66">
        <v>21.73</v>
      </c>
      <c r="BU27" s="67">
        <v>18.829999999999998</v>
      </c>
      <c r="BV27" s="66">
        <v>27.17</v>
      </c>
      <c r="BW27" s="67">
        <v>14.74</v>
      </c>
      <c r="BX27" s="66">
        <v>31.05</v>
      </c>
      <c r="BY27" s="67">
        <v>15.54</v>
      </c>
      <c r="BZ27" s="66">
        <v>35.65</v>
      </c>
      <c r="CA27" s="67">
        <v>19.28</v>
      </c>
      <c r="CB27" s="66">
        <v>36.229999999999997</v>
      </c>
      <c r="CC27" s="67">
        <v>19.03</v>
      </c>
      <c r="CD27" s="66">
        <v>39.799999999999997</v>
      </c>
      <c r="CE27" s="67">
        <v>16.579999999999998</v>
      </c>
      <c r="CF27" s="66">
        <v>40.18</v>
      </c>
      <c r="CG27" s="67">
        <v>20.87</v>
      </c>
      <c r="CH27" s="66">
        <v>45.66</v>
      </c>
      <c r="CI27" s="67">
        <v>22.44</v>
      </c>
      <c r="CJ27" s="66">
        <v>55.56</v>
      </c>
      <c r="CK27" s="67">
        <v>15.52</v>
      </c>
      <c r="CL27" s="66">
        <v>51.93</v>
      </c>
      <c r="CM27" s="67">
        <v>21.91</v>
      </c>
      <c r="CN27" s="66">
        <v>37.42</v>
      </c>
      <c r="CO27" s="67">
        <v>35.020000000000003</v>
      </c>
      <c r="CP27" s="66">
        <v>70.599999999999994</v>
      </c>
      <c r="CQ27" s="67">
        <v>23.65</v>
      </c>
      <c r="CR27" s="66">
        <v>94.06</v>
      </c>
      <c r="CS27" s="67">
        <v>14.18</v>
      </c>
      <c r="CT27" s="66">
        <v>103.86</v>
      </c>
      <c r="CU27" s="67">
        <v>12.85</v>
      </c>
      <c r="CV27" s="67"/>
      <c r="CW27" s="304">
        <v>242.88265999999999</v>
      </c>
      <c r="CX27" s="304">
        <v>315.55561299999999</v>
      </c>
      <c r="CY27" s="304">
        <v>409.05061502341601</v>
      </c>
      <c r="CZ27" s="298">
        <v>400.42</v>
      </c>
      <c r="DA27" s="299">
        <v>482.54</v>
      </c>
      <c r="DB27" s="298">
        <v>687.4</v>
      </c>
      <c r="DC27" s="298">
        <v>689.46</v>
      </c>
      <c r="DD27" s="298">
        <v>659.95</v>
      </c>
      <c r="DE27" s="298">
        <v>838.63</v>
      </c>
      <c r="DF27" s="298">
        <v>1024.6099999999999</v>
      </c>
      <c r="DG27" s="298">
        <v>862.03</v>
      </c>
      <c r="DH27" s="298">
        <v>1137.9000000000001</v>
      </c>
      <c r="DI27" s="298">
        <v>1310.5999999999999</v>
      </c>
      <c r="DJ27" s="298">
        <v>1669.78</v>
      </c>
      <c r="DK27" s="112" t="s">
        <v>79</v>
      </c>
    </row>
    <row r="28" spans="1:115" x14ac:dyDescent="0.4">
      <c r="A28" s="64" t="s">
        <v>80</v>
      </c>
      <c r="B28" s="80">
        <v>3610.92</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44.71</v>
      </c>
      <c r="BH28" s="58">
        <v>50.13</v>
      </c>
      <c r="BI28" s="58">
        <v>55.75</v>
      </c>
      <c r="BJ28" s="58">
        <v>60.77</v>
      </c>
      <c r="BK28" s="58">
        <v>58.86</v>
      </c>
      <c r="BL28" s="58">
        <v>60.72</v>
      </c>
      <c r="BM28" s="58">
        <v>67.94</v>
      </c>
      <c r="BN28" s="58">
        <v>65.84</v>
      </c>
      <c r="BO28" s="67"/>
      <c r="BP28" s="66">
        <v>26.66</v>
      </c>
      <c r="BQ28" s="67">
        <v>19.809999999999999</v>
      </c>
      <c r="BR28" s="66">
        <v>25.85</v>
      </c>
      <c r="BS28" s="67">
        <v>32.32</v>
      </c>
      <c r="BT28" s="66">
        <v>52.03</v>
      </c>
      <c r="BU28" s="67">
        <v>21.24</v>
      </c>
      <c r="BV28" s="66">
        <v>53.98</v>
      </c>
      <c r="BW28" s="67">
        <v>18.059999999999999</v>
      </c>
      <c r="BX28" s="66">
        <v>47.43</v>
      </c>
      <c r="BY28" s="67">
        <v>23.59</v>
      </c>
      <c r="BZ28" s="66">
        <v>47.74</v>
      </c>
      <c r="CA28" s="67">
        <v>30.06</v>
      </c>
      <c r="CB28" s="66">
        <v>47.33</v>
      </c>
      <c r="CC28" s="67">
        <v>32.56</v>
      </c>
      <c r="CD28" s="66">
        <v>47.42</v>
      </c>
      <c r="CE28" s="67">
        <v>32.49</v>
      </c>
      <c r="CF28" s="66">
        <v>59.68</v>
      </c>
      <c r="CG28" s="67">
        <v>31.16</v>
      </c>
      <c r="CH28" s="66">
        <v>74.69</v>
      </c>
      <c r="CI28" s="67">
        <v>30.96</v>
      </c>
      <c r="CJ28" s="66">
        <v>98.7</v>
      </c>
      <c r="CK28" s="67">
        <v>22.01</v>
      </c>
      <c r="CL28" s="66">
        <v>85.97</v>
      </c>
      <c r="CM28" s="67">
        <v>35.909999999999997</v>
      </c>
      <c r="CN28" s="66">
        <v>83.46</v>
      </c>
      <c r="CO28" s="67">
        <v>50.18</v>
      </c>
      <c r="CP28" s="66">
        <v>143.80000000000001</v>
      </c>
      <c r="CQ28" s="67">
        <v>32.99</v>
      </c>
      <c r="CR28" s="66">
        <v>211.35</v>
      </c>
      <c r="CS28" s="67">
        <v>17.079999999999998</v>
      </c>
      <c r="CT28" s="66">
        <v>253.35</v>
      </c>
      <c r="CU28" s="67">
        <v>14.25</v>
      </c>
      <c r="CV28" s="67"/>
      <c r="CW28" s="304">
        <v>528.07611299999996</v>
      </c>
      <c r="CX28" s="304">
        <v>835.384862</v>
      </c>
      <c r="CY28" s="304">
        <v>1105.3769852549799</v>
      </c>
      <c r="CZ28" s="298">
        <v>974.98</v>
      </c>
      <c r="DA28" s="299">
        <v>1119.05</v>
      </c>
      <c r="DB28" s="298">
        <v>1435.18</v>
      </c>
      <c r="DC28" s="298">
        <v>1541.03</v>
      </c>
      <c r="DD28" s="298">
        <v>1540.74</v>
      </c>
      <c r="DE28" s="298">
        <v>1859.31</v>
      </c>
      <c r="DF28" s="298">
        <v>2312.38</v>
      </c>
      <c r="DG28" s="298">
        <v>2172.89</v>
      </c>
      <c r="DH28" s="298">
        <v>3087.28</v>
      </c>
      <c r="DI28" s="298">
        <v>4187.95</v>
      </c>
      <c r="DJ28" s="298">
        <v>4743.55</v>
      </c>
      <c r="DK28" s="112" t="s">
        <v>80</v>
      </c>
    </row>
    <row r="29" spans="1:115" x14ac:dyDescent="0.4">
      <c r="A29" s="64" t="s">
        <v>81</v>
      </c>
      <c r="B29" s="80">
        <v>635.22</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26.74</v>
      </c>
      <c r="BH29" s="58">
        <v>27.36</v>
      </c>
      <c r="BI29" s="58">
        <v>25.25</v>
      </c>
      <c r="BJ29" s="58">
        <v>20.49</v>
      </c>
      <c r="BK29" s="58">
        <v>18.61</v>
      </c>
      <c r="BL29" s="58">
        <v>18.600000000000001</v>
      </c>
      <c r="BM29" s="58">
        <v>17.43</v>
      </c>
      <c r="BN29" s="58">
        <v>16.07</v>
      </c>
      <c r="BO29" s="67"/>
      <c r="BP29" s="66">
        <v>15.17</v>
      </c>
      <c r="BQ29" s="67">
        <v>8.44</v>
      </c>
      <c r="BR29" s="66">
        <v>9.32</v>
      </c>
      <c r="BS29" s="67">
        <v>20.91</v>
      </c>
      <c r="BT29" s="66">
        <v>14.19</v>
      </c>
      <c r="BU29" s="67">
        <v>17.28</v>
      </c>
      <c r="BV29" s="66">
        <v>15.8</v>
      </c>
      <c r="BW29" s="67">
        <v>15.39</v>
      </c>
      <c r="BX29" s="66">
        <v>16.260000000000002</v>
      </c>
      <c r="BY29" s="67">
        <v>17.940000000000001</v>
      </c>
      <c r="BZ29" s="66">
        <v>19.78</v>
      </c>
      <c r="CA29" s="67">
        <v>18.05</v>
      </c>
      <c r="CB29" s="66">
        <v>-0.38</v>
      </c>
      <c r="CC29" s="67">
        <v>-983.43</v>
      </c>
      <c r="CD29" s="66">
        <v>15.93</v>
      </c>
      <c r="CE29" s="67">
        <v>20</v>
      </c>
      <c r="CF29" s="66">
        <v>17.88</v>
      </c>
      <c r="CG29" s="67">
        <v>23.95</v>
      </c>
      <c r="CH29" s="66">
        <v>27.47</v>
      </c>
      <c r="CI29" s="67">
        <v>18.64</v>
      </c>
      <c r="CJ29" s="66">
        <v>36.5</v>
      </c>
      <c r="CK29" s="67">
        <v>10.96</v>
      </c>
      <c r="CL29" s="66">
        <v>27.14</v>
      </c>
      <c r="CM29" s="67">
        <v>17.45</v>
      </c>
      <c r="CN29" s="66">
        <v>20.88</v>
      </c>
      <c r="CO29" s="67">
        <v>24.55</v>
      </c>
      <c r="CP29" s="66">
        <v>85.05</v>
      </c>
      <c r="CQ29" s="67">
        <v>7.85</v>
      </c>
      <c r="CR29" s="66">
        <v>99.85</v>
      </c>
      <c r="CS29" s="67">
        <v>6.36</v>
      </c>
      <c r="CT29" s="66">
        <v>70.709999999999994</v>
      </c>
      <c r="CU29" s="67">
        <v>8.98</v>
      </c>
      <c r="CV29" s="67"/>
      <c r="CW29" s="304">
        <v>128.06459000000001</v>
      </c>
      <c r="CX29" s="304">
        <v>194.888015</v>
      </c>
      <c r="CY29" s="304">
        <v>245.231305321018</v>
      </c>
      <c r="CZ29" s="298">
        <v>243.2</v>
      </c>
      <c r="DA29" s="299">
        <v>291.69</v>
      </c>
      <c r="DB29" s="298">
        <v>357.13</v>
      </c>
      <c r="DC29" s="298">
        <v>372.73</v>
      </c>
      <c r="DD29" s="298">
        <v>318.49</v>
      </c>
      <c r="DE29" s="298">
        <v>428.14</v>
      </c>
      <c r="DF29" s="298">
        <v>511.92</v>
      </c>
      <c r="DG29" s="298">
        <v>400.22</v>
      </c>
      <c r="DH29" s="298">
        <v>473.6</v>
      </c>
      <c r="DI29" s="298">
        <v>512.58000000000004</v>
      </c>
      <c r="DJ29" s="298">
        <v>667.76</v>
      </c>
      <c r="DK29" s="112" t="s">
        <v>81</v>
      </c>
    </row>
    <row r="30" spans="1:115" x14ac:dyDescent="0.4">
      <c r="A30" s="64" t="s">
        <v>385</v>
      </c>
      <c r="B30" s="80">
        <v>132.52000000000001</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1.48</v>
      </c>
      <c r="BH30" s="58">
        <v>1.78</v>
      </c>
      <c r="BI30" s="58">
        <v>2.17</v>
      </c>
      <c r="BJ30" s="58">
        <v>2.83</v>
      </c>
      <c r="BK30" s="58">
        <v>1.86</v>
      </c>
      <c r="BL30" s="58">
        <v>2.1</v>
      </c>
      <c r="BM30" s="58">
        <v>2.1800000000000002</v>
      </c>
      <c r="BN30" s="58">
        <v>2.4900000000000002</v>
      </c>
      <c r="BO30" s="67"/>
      <c r="BP30" s="66">
        <v>16.22</v>
      </c>
      <c r="BQ30" s="67">
        <v>8.83</v>
      </c>
      <c r="BR30" s="66">
        <v>10.09</v>
      </c>
      <c r="BS30" s="67">
        <v>16.02</v>
      </c>
      <c r="BT30" s="66">
        <v>12.23</v>
      </c>
      <c r="BU30" s="67">
        <v>14.99</v>
      </c>
      <c r="BV30" s="66">
        <v>7.23</v>
      </c>
      <c r="BW30" s="67">
        <v>22.72</v>
      </c>
      <c r="BX30" s="66">
        <v>5.51</v>
      </c>
      <c r="BY30" s="67">
        <v>34.06</v>
      </c>
      <c r="BZ30" s="66">
        <v>-1.69</v>
      </c>
      <c r="CA30" s="67">
        <v>-131.27000000000001</v>
      </c>
      <c r="CC30" s="67">
        <v>272.64999999999998</v>
      </c>
      <c r="CD30" s="66">
        <v>20.93</v>
      </c>
      <c r="CE30" s="67">
        <v>11.22</v>
      </c>
      <c r="CF30" s="66">
        <v>3.18</v>
      </c>
      <c r="CG30" s="67">
        <v>82.49</v>
      </c>
      <c r="CH30" s="66">
        <v>-11.38</v>
      </c>
      <c r="CI30" s="67">
        <v>-12.96</v>
      </c>
      <c r="CJ30" s="66">
        <v>7.24</v>
      </c>
      <c r="CK30" s="67">
        <v>20.420000000000002</v>
      </c>
      <c r="CL30" s="66">
        <v>7.26</v>
      </c>
      <c r="CM30" s="67">
        <v>23.38</v>
      </c>
      <c r="CN30" s="66">
        <v>2.78</v>
      </c>
      <c r="CO30" s="67">
        <v>63.53</v>
      </c>
      <c r="CP30" s="66">
        <v>4.6100000000000003</v>
      </c>
      <c r="CQ30" s="67">
        <v>36.93</v>
      </c>
      <c r="CR30" s="66">
        <v>8.26</v>
      </c>
      <c r="CS30" s="67">
        <v>16.04</v>
      </c>
      <c r="CT30" s="66">
        <v>8.6300000000000008</v>
      </c>
      <c r="CU30" s="67">
        <v>15.36</v>
      </c>
      <c r="CV30" s="67"/>
      <c r="CW30" s="304">
        <v>143.15840499999999</v>
      </c>
      <c r="CX30" s="304">
        <v>161.645354</v>
      </c>
      <c r="CY30" s="304">
        <v>183.360245492996</v>
      </c>
      <c r="CZ30" s="298">
        <v>164.14</v>
      </c>
      <c r="DA30" s="299">
        <v>187.72</v>
      </c>
      <c r="DB30" s="298">
        <v>222.36</v>
      </c>
      <c r="DC30" s="298">
        <v>272.64999999999998</v>
      </c>
      <c r="DD30" s="298">
        <v>234.88</v>
      </c>
      <c r="DE30" s="298">
        <v>261.92</v>
      </c>
      <c r="DF30" s="298">
        <v>147.5</v>
      </c>
      <c r="DG30" s="298">
        <v>147.82</v>
      </c>
      <c r="DH30" s="298">
        <v>169.82</v>
      </c>
      <c r="DI30" s="298">
        <v>176.88</v>
      </c>
      <c r="DJ30" s="298">
        <v>170.07</v>
      </c>
      <c r="DK30" s="112" t="s">
        <v>385</v>
      </c>
    </row>
    <row r="31" spans="1:115" x14ac:dyDescent="0.4">
      <c r="A31" s="64" t="s">
        <v>82</v>
      </c>
      <c r="B31" s="80">
        <v>572.66</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5.0199999999999996</v>
      </c>
      <c r="BI31" s="58">
        <v>6.24</v>
      </c>
      <c r="BJ31" s="58">
        <v>9.48</v>
      </c>
      <c r="BK31" s="58">
        <v>13.61</v>
      </c>
      <c r="BL31" s="58">
        <v>5.5</v>
      </c>
      <c r="BM31" s="58">
        <v>6.63</v>
      </c>
      <c r="BN31" s="58">
        <v>8.4600000000000009</v>
      </c>
      <c r="BO31" s="67"/>
      <c r="BP31" s="66">
        <v>15.35</v>
      </c>
      <c r="BQ31" s="67">
        <v>13.67</v>
      </c>
      <c r="BR31" s="66">
        <v>15.57</v>
      </c>
      <c r="BS31" s="67">
        <v>15.62</v>
      </c>
      <c r="BT31" s="66">
        <v>17.739999999999998</v>
      </c>
      <c r="BU31" s="67">
        <v>15.07</v>
      </c>
      <c r="BV31" s="66">
        <v>17.22</v>
      </c>
      <c r="BW31" s="67">
        <v>17.48</v>
      </c>
      <c r="BX31" s="66">
        <v>19.72</v>
      </c>
      <c r="BY31" s="67">
        <v>15.52</v>
      </c>
      <c r="BZ31" s="66">
        <v>21.52</v>
      </c>
      <c r="CA31" s="67">
        <v>17.489999999999998</v>
      </c>
      <c r="CB31" s="66">
        <v>22.7</v>
      </c>
      <c r="CC31" s="67">
        <v>19.12</v>
      </c>
      <c r="CD31" s="66">
        <v>21.17</v>
      </c>
      <c r="CE31" s="67">
        <v>18.66</v>
      </c>
      <c r="CF31" s="66">
        <v>24.34</v>
      </c>
      <c r="CG31" s="67">
        <v>20.07</v>
      </c>
      <c r="CH31" s="66">
        <v>26.18</v>
      </c>
      <c r="CI31" s="67">
        <v>20.16</v>
      </c>
      <c r="CJ31" s="66">
        <v>25.59</v>
      </c>
      <c r="CK31" s="67">
        <v>21.42</v>
      </c>
      <c r="CL31" s="66">
        <v>26.63</v>
      </c>
      <c r="CM31" s="67">
        <v>22.9</v>
      </c>
      <c r="CN31" s="66">
        <v>30.18</v>
      </c>
      <c r="CO31" s="67">
        <v>16.809999999999999</v>
      </c>
      <c r="CP31" s="66">
        <v>35.78</v>
      </c>
      <c r="CQ31" s="67">
        <v>16.440000000000001</v>
      </c>
      <c r="CR31" s="66">
        <v>37.340000000000003</v>
      </c>
      <c r="CS31" s="67">
        <v>15.33</v>
      </c>
      <c r="CT31" s="66">
        <v>34.21</v>
      </c>
      <c r="CU31" s="67">
        <v>16.739999999999998</v>
      </c>
      <c r="CV31" s="67"/>
      <c r="CW31" s="304">
        <v>209.869193</v>
      </c>
      <c r="CX31" s="304">
        <v>243.21781100000001</v>
      </c>
      <c r="CY31" s="304">
        <v>267.44165166607797</v>
      </c>
      <c r="CZ31" s="298">
        <v>300.99</v>
      </c>
      <c r="DA31" s="299">
        <v>306.13</v>
      </c>
      <c r="DB31" s="298">
        <v>376.37</v>
      </c>
      <c r="DC31" s="298">
        <v>433.87</v>
      </c>
      <c r="DD31" s="298">
        <v>395.09</v>
      </c>
      <c r="DE31" s="298">
        <v>488.45</v>
      </c>
      <c r="DF31" s="298">
        <v>527.86</v>
      </c>
      <c r="DG31" s="298">
        <v>548.16999999999996</v>
      </c>
      <c r="DH31" s="298">
        <v>609.92999999999995</v>
      </c>
      <c r="DI31" s="298">
        <v>507.41</v>
      </c>
      <c r="DJ31" s="298">
        <v>588.14</v>
      </c>
      <c r="DK31" s="112" t="s">
        <v>82</v>
      </c>
    </row>
    <row r="32" spans="1:115" x14ac:dyDescent="0.4">
      <c r="A32" s="167" t="s">
        <v>311</v>
      </c>
      <c r="B32" s="80">
        <v>224.26</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2.76</v>
      </c>
      <c r="BH32" s="58">
        <v>2.14</v>
      </c>
      <c r="BI32" s="58">
        <v>2.13</v>
      </c>
      <c r="BJ32" s="58">
        <v>2.57</v>
      </c>
      <c r="BK32" s="58">
        <v>2.17</v>
      </c>
      <c r="BL32" s="58">
        <v>2.41</v>
      </c>
      <c r="BM32" s="58">
        <v>2.5099999999999998</v>
      </c>
      <c r="BN32" s="58">
        <v>2.81</v>
      </c>
      <c r="BO32" s="67"/>
      <c r="BQ32" s="67"/>
      <c r="BS32" s="67"/>
      <c r="BU32" s="67"/>
      <c r="BW32" s="67"/>
      <c r="BY32" s="67"/>
      <c r="BZ32" s="66">
        <v>4.01</v>
      </c>
      <c r="CA32" s="67">
        <v>41.63</v>
      </c>
      <c r="CB32" s="66">
        <v>5.79</v>
      </c>
      <c r="CC32" s="67">
        <v>36.01</v>
      </c>
      <c r="CD32" s="66">
        <v>6.53</v>
      </c>
      <c r="CE32" s="67">
        <v>31.83</v>
      </c>
      <c r="CF32" s="66">
        <v>8.1</v>
      </c>
      <c r="CG32" s="67">
        <v>28.31</v>
      </c>
      <c r="CH32" s="66">
        <v>7.27</v>
      </c>
      <c r="CI32" s="67">
        <v>31.32</v>
      </c>
      <c r="CJ32" s="66">
        <v>9.3699999999999992</v>
      </c>
      <c r="CK32" s="67">
        <v>21.82</v>
      </c>
      <c r="CL32" s="66">
        <v>7.99</v>
      </c>
      <c r="CM32" s="67">
        <v>30.44</v>
      </c>
      <c r="CN32" s="66">
        <v>3.1</v>
      </c>
      <c r="CO32" s="67">
        <v>66.099999999999994</v>
      </c>
      <c r="CP32" s="66">
        <v>7.75</v>
      </c>
      <c r="CQ32" s="67">
        <v>34.700000000000003</v>
      </c>
      <c r="CR32" s="66">
        <v>9.59</v>
      </c>
      <c r="CS32" s="67">
        <v>23.38</v>
      </c>
      <c r="CT32" s="66">
        <v>9.9</v>
      </c>
      <c r="CU32" s="67">
        <v>22.66</v>
      </c>
      <c r="CV32" s="67"/>
      <c r="CW32" s="304"/>
      <c r="CX32" s="304"/>
      <c r="CY32" s="304"/>
      <c r="DB32" s="298"/>
      <c r="DC32" s="298"/>
      <c r="DD32" s="298"/>
      <c r="DE32" s="298">
        <v>229.19</v>
      </c>
      <c r="DF32" s="298">
        <v>227.79</v>
      </c>
      <c r="DG32" s="298">
        <v>204.51</v>
      </c>
      <c r="DH32" s="298">
        <v>243.17</v>
      </c>
      <c r="DI32" s="298">
        <v>204.86</v>
      </c>
      <c r="DJ32" s="298">
        <v>268.74</v>
      </c>
      <c r="DK32" s="112" t="s">
        <v>506</v>
      </c>
    </row>
    <row r="33" spans="1:115" x14ac:dyDescent="0.4">
      <c r="B33" s="80"/>
      <c r="C33" s="66"/>
      <c r="D33" s="66"/>
      <c r="E33" s="66"/>
      <c r="F33" s="66"/>
      <c r="G33" s="66"/>
      <c r="H33" s="66"/>
      <c r="I33" s="66"/>
      <c r="J33" s="66"/>
      <c r="K33" s="66"/>
      <c r="L33" s="66"/>
      <c r="M33" s="66"/>
      <c r="N33" s="66"/>
      <c r="O33" s="66"/>
      <c r="P33" s="66"/>
      <c r="Q33" s="66"/>
      <c r="R33" s="66"/>
      <c r="S33" s="66"/>
      <c r="T33" s="66"/>
      <c r="U33" s="58"/>
      <c r="V33" s="58"/>
      <c r="W33" s="305"/>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67"/>
      <c r="BQ33" s="67"/>
      <c r="BS33" s="67"/>
      <c r="BU33" s="67"/>
      <c r="BW33" s="67"/>
      <c r="BY33" s="67"/>
      <c r="CA33" s="67"/>
      <c r="CC33" s="67"/>
      <c r="CE33" s="67"/>
      <c r="CG33" s="67"/>
      <c r="CH33" s="66"/>
      <c r="CI33" s="67"/>
      <c r="CJ33" s="66"/>
      <c r="CK33" s="67"/>
      <c r="CL33" s="66"/>
      <c r="CM33" s="67"/>
      <c r="CN33" s="66"/>
      <c r="CO33" s="67"/>
      <c r="CP33" s="66"/>
      <c r="CQ33" s="67"/>
      <c r="CR33" s="66"/>
      <c r="CS33" s="67"/>
      <c r="CT33" s="66"/>
      <c r="CU33" s="67"/>
      <c r="CV33" s="67"/>
      <c r="DB33" s="298"/>
      <c r="DC33" s="298"/>
      <c r="DD33" s="298"/>
      <c r="DE33" s="298"/>
      <c r="DF33" s="298"/>
      <c r="DG33" s="298"/>
      <c r="DH33" s="298"/>
      <c r="DI33" s="298"/>
    </row>
    <row r="34" spans="1:115" x14ac:dyDescent="0.4">
      <c r="A34" s="64" t="s">
        <v>83</v>
      </c>
      <c r="B34" s="80">
        <v>1147.42</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14.76</v>
      </c>
      <c r="BH34" s="58">
        <v>23.16</v>
      </c>
      <c r="BI34" s="58">
        <v>24.61</v>
      </c>
      <c r="BJ34" s="58">
        <v>26.17</v>
      </c>
      <c r="BK34" s="58">
        <v>25.03</v>
      </c>
      <c r="BL34" s="58">
        <v>27.37</v>
      </c>
      <c r="BM34" s="58">
        <v>28.43</v>
      </c>
      <c r="BN34" s="58">
        <v>29.38</v>
      </c>
      <c r="BO34" s="67"/>
      <c r="BP34" s="66">
        <v>10.220000000000001</v>
      </c>
      <c r="BQ34" s="67">
        <v>26.29</v>
      </c>
      <c r="BR34" s="66">
        <v>7.62</v>
      </c>
      <c r="BS34" s="67">
        <v>43.65</v>
      </c>
      <c r="BT34" s="66">
        <v>17</v>
      </c>
      <c r="BU34" s="67">
        <v>24.46</v>
      </c>
      <c r="BV34" s="66">
        <v>20.59</v>
      </c>
      <c r="BW34" s="67">
        <v>20.16</v>
      </c>
      <c r="BX34" s="66">
        <v>21.62</v>
      </c>
      <c r="BY34" s="67">
        <v>22.04</v>
      </c>
      <c r="BZ34" s="66">
        <v>25.33</v>
      </c>
      <c r="CA34" s="67">
        <v>26.28</v>
      </c>
      <c r="CB34" s="66">
        <v>26.79</v>
      </c>
      <c r="CC34" s="67">
        <v>25.95</v>
      </c>
      <c r="CD34" s="66">
        <v>19.66</v>
      </c>
      <c r="CE34" s="67">
        <v>34.159999999999997</v>
      </c>
      <c r="CF34" s="66">
        <v>25.6</v>
      </c>
      <c r="CG34" s="67">
        <v>32.729999999999997</v>
      </c>
      <c r="CH34" s="66">
        <v>31.19</v>
      </c>
      <c r="CI34" s="67">
        <v>30.01</v>
      </c>
      <c r="CJ34" s="66">
        <v>39.049999999999997</v>
      </c>
      <c r="CK34" s="67">
        <v>21.64</v>
      </c>
      <c r="CL34" s="66">
        <v>30.68</v>
      </c>
      <c r="CM34" s="67">
        <v>33.29</v>
      </c>
      <c r="CN34" s="66">
        <v>-3.99</v>
      </c>
      <c r="CO34" s="67">
        <v>-280.36</v>
      </c>
      <c r="CP34" s="66">
        <v>74.25</v>
      </c>
      <c r="CQ34" s="67">
        <v>18.88</v>
      </c>
      <c r="CR34" s="66">
        <v>88.71</v>
      </c>
      <c r="CS34" s="67">
        <v>12.93</v>
      </c>
      <c r="CT34" s="66">
        <v>110.21</v>
      </c>
      <c r="CU34" s="67">
        <v>10.41</v>
      </c>
      <c r="CV34" s="67"/>
      <c r="CW34" s="304">
        <v>268.73003299999999</v>
      </c>
      <c r="CX34" s="304">
        <v>332.63385699999998</v>
      </c>
      <c r="CY34" s="304">
        <v>415.72857196557999</v>
      </c>
      <c r="CZ34" s="298">
        <v>415.07</v>
      </c>
      <c r="DA34" s="299">
        <v>476.57</v>
      </c>
      <c r="DB34" s="298">
        <v>665.54</v>
      </c>
      <c r="DC34" s="298">
        <v>695.08</v>
      </c>
      <c r="DD34" s="298">
        <v>671.74</v>
      </c>
      <c r="DE34" s="298">
        <v>837.96</v>
      </c>
      <c r="DF34" s="298">
        <v>936.26</v>
      </c>
      <c r="DG34" s="298">
        <v>844.94</v>
      </c>
      <c r="DH34" s="298">
        <v>1021.18</v>
      </c>
      <c r="DI34" s="298">
        <v>1118.93</v>
      </c>
      <c r="DJ34" s="298">
        <v>1401.71</v>
      </c>
      <c r="DK34" s="112" t="s">
        <v>83</v>
      </c>
    </row>
    <row r="35" spans="1:115" x14ac:dyDescent="0.4">
      <c r="A35" s="64" t="s">
        <v>84</v>
      </c>
      <c r="B35" s="80">
        <v>759.74</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22.77</v>
      </c>
      <c r="BH35" s="58">
        <v>25.87</v>
      </c>
      <c r="BI35" s="58">
        <v>28.3</v>
      </c>
      <c r="BJ35" s="58">
        <v>32.49</v>
      </c>
      <c r="BK35" s="58">
        <v>25.38</v>
      </c>
      <c r="BL35" s="58">
        <v>28.49</v>
      </c>
      <c r="BM35" s="58">
        <v>30.22</v>
      </c>
      <c r="BN35" s="58">
        <v>33.340000000000003</v>
      </c>
      <c r="BO35" s="67"/>
      <c r="BP35" s="66">
        <v>2.11</v>
      </c>
      <c r="BQ35" s="67">
        <v>59.3</v>
      </c>
      <c r="BR35" s="66">
        <v>5.17</v>
      </c>
      <c r="BS35" s="67">
        <v>36.47</v>
      </c>
      <c r="BT35" s="66">
        <v>10.19</v>
      </c>
      <c r="BU35" s="67">
        <v>24.96</v>
      </c>
      <c r="BV35" s="66">
        <v>13.11</v>
      </c>
      <c r="BW35" s="67">
        <v>18.809999999999999</v>
      </c>
      <c r="BX35" s="66">
        <v>14.16</v>
      </c>
      <c r="BY35" s="67">
        <v>21.43</v>
      </c>
      <c r="BZ35" s="66">
        <v>17.84</v>
      </c>
      <c r="CA35" s="67">
        <v>25.13</v>
      </c>
      <c r="CB35" s="66">
        <v>18.809999999999999</v>
      </c>
      <c r="CC35" s="67">
        <v>24.78</v>
      </c>
      <c r="CD35" s="66">
        <v>20.329999999999998</v>
      </c>
      <c r="CE35" s="67">
        <v>20.73</v>
      </c>
      <c r="CF35" s="66">
        <v>23.87</v>
      </c>
      <c r="CG35" s="67">
        <v>20.239999999999998</v>
      </c>
      <c r="CH35" s="66">
        <v>24.04</v>
      </c>
      <c r="CI35" s="67">
        <v>23.27</v>
      </c>
      <c r="CJ35" s="66">
        <v>33.31</v>
      </c>
      <c r="CK35" s="67">
        <v>15.24</v>
      </c>
      <c r="CL35" s="66">
        <v>33.67</v>
      </c>
      <c r="CM35" s="67">
        <v>17.52</v>
      </c>
      <c r="CN35" s="66">
        <v>24.8</v>
      </c>
      <c r="CO35" s="67">
        <v>30.33</v>
      </c>
      <c r="CP35" s="66">
        <v>95.2</v>
      </c>
      <c r="CQ35" s="67">
        <v>10.79</v>
      </c>
      <c r="CR35" s="66">
        <v>109.42</v>
      </c>
      <c r="CS35" s="67">
        <v>6.94</v>
      </c>
      <c r="CT35" s="66">
        <v>117.43</v>
      </c>
      <c r="CU35" s="67">
        <v>6.47</v>
      </c>
      <c r="CV35" s="67"/>
      <c r="CW35" s="304">
        <v>125.120938</v>
      </c>
      <c r="CX35" s="304">
        <v>188.551579</v>
      </c>
      <c r="CY35" s="304">
        <v>254.457481513792</v>
      </c>
      <c r="CZ35" s="298">
        <v>246.53</v>
      </c>
      <c r="DA35" s="299">
        <v>303.55</v>
      </c>
      <c r="DB35" s="298">
        <v>448.34</v>
      </c>
      <c r="DC35" s="298">
        <v>466.27</v>
      </c>
      <c r="DD35" s="298">
        <v>421.45</v>
      </c>
      <c r="DE35" s="298">
        <v>483.14</v>
      </c>
      <c r="DF35" s="298">
        <v>559.41</v>
      </c>
      <c r="DG35" s="298">
        <v>507.59</v>
      </c>
      <c r="DH35" s="298">
        <v>589.79</v>
      </c>
      <c r="DI35" s="298">
        <v>752.12</v>
      </c>
      <c r="DJ35" s="298">
        <v>1027.18</v>
      </c>
      <c r="DK35" s="112" t="s">
        <v>84</v>
      </c>
    </row>
    <row r="36" spans="1:115" x14ac:dyDescent="0.4">
      <c r="A36" s="64" t="s">
        <v>85</v>
      </c>
      <c r="B36" s="80">
        <v>2259.88</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29.38</v>
      </c>
      <c r="BH36" s="58">
        <v>34.020000000000003</v>
      </c>
      <c r="BI36" s="58">
        <v>32.96</v>
      </c>
      <c r="BJ36" s="58">
        <v>34.46</v>
      </c>
      <c r="BK36" s="58">
        <v>31.66</v>
      </c>
      <c r="BL36" s="58">
        <v>35.46</v>
      </c>
      <c r="BM36" s="58"/>
      <c r="BN36" s="58"/>
      <c r="BO36" s="67"/>
      <c r="BP36" s="66">
        <v>23.24</v>
      </c>
      <c r="BQ36" s="67">
        <v>17.690000000000001</v>
      </c>
      <c r="BR36" s="66">
        <v>28.07</v>
      </c>
      <c r="BS36" s="67">
        <v>20.2</v>
      </c>
      <c r="BT36" s="66">
        <v>34.770000000000003</v>
      </c>
      <c r="BU36" s="67">
        <v>20.39</v>
      </c>
      <c r="BV36" s="66">
        <v>36.659999999999997</v>
      </c>
      <c r="BW36" s="67">
        <v>20.78</v>
      </c>
      <c r="BX36" s="66">
        <v>46.88</v>
      </c>
      <c r="BY36" s="67">
        <v>18.260000000000002</v>
      </c>
      <c r="BZ36" s="66">
        <v>47.21</v>
      </c>
      <c r="CA36" s="67">
        <v>25.99</v>
      </c>
      <c r="CB36" s="66">
        <v>64.87</v>
      </c>
      <c r="CC36" s="67">
        <v>20.68</v>
      </c>
      <c r="CD36" s="66">
        <v>77.06</v>
      </c>
      <c r="CE36" s="67">
        <v>17.23</v>
      </c>
      <c r="CF36" s="66">
        <v>76.11</v>
      </c>
      <c r="CG36" s="67">
        <v>21.65</v>
      </c>
      <c r="CH36" s="66">
        <v>63.83</v>
      </c>
      <c r="CI36" s="67">
        <v>27.78</v>
      </c>
      <c r="CJ36" s="66">
        <v>58.09</v>
      </c>
      <c r="CK36" s="67">
        <v>28.56</v>
      </c>
      <c r="CL36" s="66">
        <v>70.34</v>
      </c>
      <c r="CM36" s="67">
        <v>27.06</v>
      </c>
      <c r="CN36" s="66">
        <v>106.8</v>
      </c>
      <c r="CO36" s="67">
        <v>19.37</v>
      </c>
      <c r="CP36" s="66">
        <v>118.8</v>
      </c>
      <c r="CQ36" s="67">
        <v>22.1</v>
      </c>
      <c r="CR36" s="66">
        <v>130.82</v>
      </c>
      <c r="CS36" s="67">
        <v>17.27</v>
      </c>
      <c r="CT36" s="66"/>
      <c r="CU36" s="67"/>
      <c r="CV36" s="67"/>
      <c r="CW36" s="304">
        <v>411.18553700000001</v>
      </c>
      <c r="CX36" s="304">
        <v>566.97425799999996</v>
      </c>
      <c r="CY36" s="304">
        <v>708.93524962621302</v>
      </c>
      <c r="CZ36" s="298">
        <v>761.75</v>
      </c>
      <c r="DA36" s="299">
        <v>855.92</v>
      </c>
      <c r="DB36" s="298">
        <v>1227.1199999999999</v>
      </c>
      <c r="DC36" s="298">
        <v>1341.7</v>
      </c>
      <c r="DD36" s="298">
        <v>1327.38</v>
      </c>
      <c r="DE36" s="298">
        <v>1647.99</v>
      </c>
      <c r="DF36" s="298">
        <v>1773.17</v>
      </c>
      <c r="DG36" s="298">
        <v>1659.2</v>
      </c>
      <c r="DH36" s="298">
        <v>1903.46</v>
      </c>
      <c r="DI36" s="298">
        <v>2068.36</v>
      </c>
      <c r="DJ36" s="298">
        <v>2625.28</v>
      </c>
      <c r="DK36" s="112" t="s">
        <v>85</v>
      </c>
    </row>
    <row r="37" spans="1:115" x14ac:dyDescent="0.4">
      <c r="A37" s="64" t="s">
        <v>86</v>
      </c>
      <c r="B37" s="80">
        <v>341.82</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-16.52</v>
      </c>
      <c r="BH37" s="58">
        <v>12.41</v>
      </c>
      <c r="BI37" s="58">
        <v>13.06</v>
      </c>
      <c r="BJ37" s="58">
        <v>12.08</v>
      </c>
      <c r="BK37" s="58">
        <v>14.49</v>
      </c>
      <c r="BL37" s="58">
        <v>14.95</v>
      </c>
      <c r="BM37" s="58">
        <v>15.01</v>
      </c>
      <c r="BN37" s="58">
        <v>14.39</v>
      </c>
      <c r="BO37" s="67"/>
      <c r="BP37" s="66">
        <v>34.67</v>
      </c>
      <c r="BQ37" s="67">
        <v>14.68</v>
      </c>
      <c r="BR37" s="66">
        <v>7.08</v>
      </c>
      <c r="BS37" s="67">
        <v>116.43</v>
      </c>
      <c r="BT37" s="66">
        <v>46.51</v>
      </c>
      <c r="BU37" s="67">
        <v>25.58</v>
      </c>
      <c r="BV37" s="66">
        <v>61.15</v>
      </c>
      <c r="BW37" s="67">
        <v>19.899999999999999</v>
      </c>
      <c r="BX37" s="66">
        <v>15.63</v>
      </c>
      <c r="BY37" s="67">
        <v>77.62</v>
      </c>
      <c r="BZ37" s="66">
        <v>32.35</v>
      </c>
      <c r="CA37" s="67">
        <v>51.79</v>
      </c>
      <c r="CB37" s="66">
        <v>-67.52</v>
      </c>
      <c r="CC37" s="67">
        <v>-15.83</v>
      </c>
      <c r="CD37" s="66">
        <v>-307.5</v>
      </c>
      <c r="CE37" s="67">
        <v>-1.82</v>
      </c>
      <c r="CF37" s="66">
        <v>-119</v>
      </c>
      <c r="CG37" s="67">
        <v>-6.44</v>
      </c>
      <c r="CH37" s="66">
        <v>-20.5</v>
      </c>
      <c r="CI37" s="67">
        <v>-27.41</v>
      </c>
      <c r="CJ37" s="66">
        <v>7.37</v>
      </c>
      <c r="CK37" s="67">
        <v>43.47</v>
      </c>
      <c r="CL37" s="66">
        <v>-58.87</v>
      </c>
      <c r="CM37" s="67">
        <v>-4.6100000000000003</v>
      </c>
      <c r="CN37" s="66">
        <v>-167.89</v>
      </c>
      <c r="CO37" s="67">
        <v>-0.97</v>
      </c>
      <c r="CP37" s="66">
        <v>4.34</v>
      </c>
      <c r="CQ37" s="67">
        <v>59.45</v>
      </c>
      <c r="CR37" s="66">
        <v>21.03</v>
      </c>
      <c r="CS37" s="67">
        <v>16.260000000000002</v>
      </c>
      <c r="CT37" s="66">
        <v>58.85</v>
      </c>
      <c r="CU37" s="67">
        <v>5.81</v>
      </c>
      <c r="CV37" s="67"/>
      <c r="CW37" s="304">
        <v>509.004437</v>
      </c>
      <c r="CX37" s="304">
        <v>824.31099900000004</v>
      </c>
      <c r="CY37" s="304">
        <v>1189.83001928814</v>
      </c>
      <c r="CZ37" s="298">
        <v>1216.75</v>
      </c>
      <c r="DA37" s="299">
        <v>1213.24</v>
      </c>
      <c r="DB37" s="298">
        <v>1675.39</v>
      </c>
      <c r="DC37" s="298">
        <v>1068.8599999999999</v>
      </c>
      <c r="DD37" s="298">
        <v>559.04</v>
      </c>
      <c r="DE37" s="298">
        <v>766.14</v>
      </c>
      <c r="DF37" s="298">
        <v>561.77</v>
      </c>
      <c r="DG37" s="298">
        <v>320.23</v>
      </c>
      <c r="DH37" s="298">
        <v>271.61</v>
      </c>
      <c r="DI37" s="298">
        <v>162.15</v>
      </c>
      <c r="DJ37" s="298">
        <v>258.19</v>
      </c>
      <c r="DK37" s="112" t="s">
        <v>86</v>
      </c>
    </row>
    <row r="38" spans="1:115" x14ac:dyDescent="0.4">
      <c r="A38" s="64" t="s">
        <v>87</v>
      </c>
      <c r="B38" s="80">
        <v>1008.92</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24.95</v>
      </c>
      <c r="BH38" s="58">
        <v>22.61</v>
      </c>
      <c r="BI38" s="58">
        <v>23.61</v>
      </c>
      <c r="BJ38" s="58">
        <v>25.63</v>
      </c>
      <c r="BK38" s="58">
        <v>25.32</v>
      </c>
      <c r="BL38" s="58">
        <v>26.47</v>
      </c>
      <c r="BM38" s="58">
        <v>27.12</v>
      </c>
      <c r="BN38" s="58">
        <v>28.68</v>
      </c>
      <c r="BO38" s="67"/>
      <c r="BP38" s="66">
        <v>-6.15</v>
      </c>
      <c r="BQ38" s="67">
        <v>-74.11</v>
      </c>
      <c r="BR38" s="66">
        <v>-11.07</v>
      </c>
      <c r="BS38" s="67">
        <v>-37.75</v>
      </c>
      <c r="BT38" s="66">
        <v>9.7100000000000009</v>
      </c>
      <c r="BU38" s="67">
        <v>50.98</v>
      </c>
      <c r="BV38" s="66">
        <v>19.48</v>
      </c>
      <c r="BW38" s="67">
        <v>25.17</v>
      </c>
      <c r="BX38" s="66">
        <v>27.83</v>
      </c>
      <c r="BY38" s="67">
        <v>20.100000000000001</v>
      </c>
      <c r="BZ38" s="66">
        <v>34.51</v>
      </c>
      <c r="CA38" s="67">
        <v>20.77</v>
      </c>
      <c r="CB38" s="66">
        <v>38.21</v>
      </c>
      <c r="CC38" s="67">
        <v>19.75</v>
      </c>
      <c r="CD38" s="66">
        <v>36.93</v>
      </c>
      <c r="CE38" s="67">
        <v>19.91</v>
      </c>
      <c r="CF38" s="66">
        <v>46.04</v>
      </c>
      <c r="CG38" s="67">
        <v>21.61</v>
      </c>
      <c r="CH38" s="66">
        <v>53.79</v>
      </c>
      <c r="CI38" s="67">
        <v>19.29</v>
      </c>
      <c r="CJ38" s="66">
        <v>60.87</v>
      </c>
      <c r="CK38" s="67">
        <v>15.59</v>
      </c>
      <c r="CL38" s="66">
        <v>76.17</v>
      </c>
      <c r="CM38" s="67">
        <v>14.58</v>
      </c>
      <c r="CN38" s="66">
        <v>38.32</v>
      </c>
      <c r="CO38" s="67">
        <v>25.69</v>
      </c>
      <c r="CP38" s="66">
        <v>109.5</v>
      </c>
      <c r="CQ38" s="67">
        <v>11.16</v>
      </c>
      <c r="CR38" s="66">
        <v>96.81</v>
      </c>
      <c r="CS38" s="67">
        <v>10.42</v>
      </c>
      <c r="CT38" s="66">
        <v>107.59</v>
      </c>
      <c r="CU38" s="67">
        <v>9.3800000000000008</v>
      </c>
      <c r="CV38" s="67"/>
      <c r="CW38" s="304">
        <v>455.79289599999998</v>
      </c>
      <c r="CX38" s="304">
        <v>417.94242200000002</v>
      </c>
      <c r="CY38" s="304">
        <v>494.85522157515697</v>
      </c>
      <c r="CZ38" s="298">
        <v>490.3</v>
      </c>
      <c r="DA38" s="299">
        <v>559.32000000000005</v>
      </c>
      <c r="DB38" s="298">
        <v>716.59</v>
      </c>
      <c r="DC38" s="298">
        <v>754.55</v>
      </c>
      <c r="DD38" s="298">
        <v>735.23</v>
      </c>
      <c r="DE38" s="298">
        <v>994.78</v>
      </c>
      <c r="DF38" s="298">
        <v>1037.6600000000001</v>
      </c>
      <c r="DG38" s="298">
        <v>949.01</v>
      </c>
      <c r="DH38" s="298">
        <v>1110.22</v>
      </c>
      <c r="DI38" s="298">
        <v>984.47</v>
      </c>
      <c r="DJ38" s="298">
        <v>1222.2</v>
      </c>
      <c r="DK38" s="112" t="s">
        <v>87</v>
      </c>
    </row>
    <row r="39" spans="1:115" x14ac:dyDescent="0.4">
      <c r="A39" s="64" t="s">
        <v>88</v>
      </c>
      <c r="B39" s="80">
        <v>3090.37</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16.440000000000001</v>
      </c>
      <c r="BH39" s="58">
        <v>20.329999999999998</v>
      </c>
      <c r="BI39" s="58">
        <v>25.04</v>
      </c>
      <c r="BJ39" s="58">
        <v>36.42</v>
      </c>
      <c r="BK39" s="58">
        <v>34.229999999999997</v>
      </c>
      <c r="BL39" s="58">
        <v>38.46</v>
      </c>
      <c r="BM39" s="58">
        <v>42.29</v>
      </c>
      <c r="BN39" s="58">
        <v>42.5</v>
      </c>
      <c r="BO39" s="67"/>
      <c r="BP39" s="66">
        <v>21.75</v>
      </c>
      <c r="BQ39" s="67">
        <v>19.87</v>
      </c>
      <c r="BR39" s="66">
        <v>24.93</v>
      </c>
      <c r="BS39" s="67">
        <v>21.19</v>
      </c>
      <c r="BT39" s="66">
        <v>31.7</v>
      </c>
      <c r="BU39" s="67">
        <v>20.36</v>
      </c>
      <c r="BV39" s="66">
        <v>37.43</v>
      </c>
      <c r="BW39" s="67">
        <v>19.57</v>
      </c>
      <c r="BX39" s="66">
        <v>38.369999999999997</v>
      </c>
      <c r="BY39" s="67">
        <v>21.58</v>
      </c>
      <c r="BZ39" s="66">
        <v>38.619999999999997</v>
      </c>
      <c r="CA39" s="67">
        <v>33.35</v>
      </c>
      <c r="CB39" s="66">
        <v>46.84</v>
      </c>
      <c r="CC39" s="67">
        <v>30.5</v>
      </c>
      <c r="CD39" s="66">
        <v>40.75</v>
      </c>
      <c r="CE39" s="67">
        <v>42.2</v>
      </c>
      <c r="CF39" s="66">
        <v>13.87</v>
      </c>
      <c r="CG39" s="67">
        <v>126.35</v>
      </c>
      <c r="CH39" s="66">
        <v>-4.59</v>
      </c>
      <c r="CI39" s="67">
        <v>-514.05999999999995</v>
      </c>
      <c r="CJ39" s="66">
        <v>15.34</v>
      </c>
      <c r="CK39" s="67">
        <v>168.65</v>
      </c>
      <c r="CL39" s="66">
        <v>10.92</v>
      </c>
      <c r="CM39" s="67">
        <v>284.77999999999997</v>
      </c>
      <c r="CN39" s="66">
        <v>25.53</v>
      </c>
      <c r="CO39" s="67">
        <v>160.03</v>
      </c>
      <c r="CP39" s="66">
        <v>82.18</v>
      </c>
      <c r="CQ39" s="67">
        <v>52.58</v>
      </c>
      <c r="CR39" s="66">
        <v>98.23</v>
      </c>
      <c r="CS39" s="67">
        <v>31.46</v>
      </c>
      <c r="CT39" s="66">
        <v>157.47999999999999</v>
      </c>
      <c r="CU39" s="67">
        <v>19.62</v>
      </c>
      <c r="CV39" s="67"/>
      <c r="CW39" s="304">
        <v>432.21943900000002</v>
      </c>
      <c r="CX39" s="304">
        <v>528.228252</v>
      </c>
      <c r="CY39" s="304">
        <v>645.648413465369</v>
      </c>
      <c r="CZ39" s="298">
        <v>732.64</v>
      </c>
      <c r="DA39" s="299">
        <v>828.04</v>
      </c>
      <c r="DB39" s="298">
        <v>1287.72</v>
      </c>
      <c r="DC39" s="298">
        <v>1428.29</v>
      </c>
      <c r="DD39" s="298">
        <v>1719.5</v>
      </c>
      <c r="DE39" s="298">
        <v>1752.93</v>
      </c>
      <c r="DF39" s="298">
        <v>2357.34</v>
      </c>
      <c r="DG39" s="298">
        <v>2587.64</v>
      </c>
      <c r="DH39" s="298">
        <v>3108.72</v>
      </c>
      <c r="DI39" s="298">
        <v>4085.24</v>
      </c>
      <c r="DJ39" s="298">
        <v>4320.55</v>
      </c>
      <c r="DK39" s="112" t="s">
        <v>88</v>
      </c>
    </row>
    <row r="40" spans="1:115" x14ac:dyDescent="0.4">
      <c r="A40" s="64" t="s">
        <v>89</v>
      </c>
      <c r="B40" s="80">
        <v>1371.61</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28.92</v>
      </c>
      <c r="BH40" s="58">
        <v>30.39</v>
      </c>
      <c r="BI40" s="58">
        <v>31.34</v>
      </c>
      <c r="BJ40" s="58">
        <v>29.56</v>
      </c>
      <c r="BK40" s="58">
        <v>26.36</v>
      </c>
      <c r="BL40" s="58">
        <v>31.15</v>
      </c>
      <c r="BM40" s="58">
        <v>32.950000000000003</v>
      </c>
      <c r="BN40" s="58">
        <v>31.22</v>
      </c>
      <c r="BO40" s="67"/>
      <c r="BP40" s="66">
        <v>26.1</v>
      </c>
      <c r="BQ40" s="67">
        <v>12.39</v>
      </c>
      <c r="BR40" s="66">
        <v>16.46</v>
      </c>
      <c r="BS40" s="67">
        <v>22.63</v>
      </c>
      <c r="BT40" s="66">
        <v>20.97</v>
      </c>
      <c r="BU40" s="67">
        <v>22.36</v>
      </c>
      <c r="BV40" s="66">
        <v>26.17</v>
      </c>
      <c r="BW40" s="67">
        <v>16.86</v>
      </c>
      <c r="BX40" s="66">
        <v>29.67</v>
      </c>
      <c r="BY40" s="67">
        <v>17.86</v>
      </c>
      <c r="BZ40" s="66">
        <v>32.619999999999997</v>
      </c>
      <c r="CA40" s="67">
        <v>22.87</v>
      </c>
      <c r="CB40" s="66">
        <v>34.229999999999997</v>
      </c>
      <c r="CC40" s="67">
        <v>22.16</v>
      </c>
      <c r="CD40" s="66">
        <v>36.94</v>
      </c>
      <c r="CE40" s="67">
        <v>19.25</v>
      </c>
      <c r="CF40" s="66">
        <v>37.11</v>
      </c>
      <c r="CG40" s="67">
        <v>24.57</v>
      </c>
      <c r="CH40" s="66">
        <v>44.23</v>
      </c>
      <c r="CI40" s="67">
        <v>23.94</v>
      </c>
      <c r="CJ40" s="66">
        <v>54.09</v>
      </c>
      <c r="CK40" s="67">
        <v>17.05</v>
      </c>
      <c r="CL40" s="66">
        <v>59.09</v>
      </c>
      <c r="CM40" s="67">
        <v>20.05</v>
      </c>
      <c r="CN40" s="66">
        <v>38.5</v>
      </c>
      <c r="CO40" s="67">
        <v>34.11</v>
      </c>
      <c r="CP40" s="66">
        <v>89.77</v>
      </c>
      <c r="CQ40" s="67">
        <v>18.27</v>
      </c>
      <c r="CR40" s="66">
        <v>120.2</v>
      </c>
      <c r="CS40" s="67">
        <v>11.41</v>
      </c>
      <c r="CT40" s="66">
        <v>121.68</v>
      </c>
      <c r="CU40" s="67">
        <v>11.27</v>
      </c>
      <c r="CV40" s="67"/>
      <c r="CW40" s="304">
        <v>323.26309500000002</v>
      </c>
      <c r="CX40" s="304">
        <v>372.565789</v>
      </c>
      <c r="CY40" s="304">
        <v>468.88068339173702</v>
      </c>
      <c r="CZ40" s="298">
        <v>441.05</v>
      </c>
      <c r="DA40" s="299">
        <v>529.85</v>
      </c>
      <c r="DB40" s="298">
        <v>746.08</v>
      </c>
      <c r="DC40" s="298">
        <v>758.61</v>
      </c>
      <c r="DD40" s="298">
        <v>711.08</v>
      </c>
      <c r="DE40" s="298">
        <v>911.68</v>
      </c>
      <c r="DF40" s="298">
        <v>1058.76</v>
      </c>
      <c r="DG40" s="298">
        <v>922.44</v>
      </c>
      <c r="DH40" s="298">
        <v>1184.56</v>
      </c>
      <c r="DI40" s="298">
        <v>1313.25</v>
      </c>
      <c r="DJ40" s="298">
        <v>1640.49</v>
      </c>
      <c r="DK40" s="112" t="s">
        <v>89</v>
      </c>
    </row>
    <row r="41" spans="1:115" x14ac:dyDescent="0.4">
      <c r="A41" s="64" t="s">
        <v>90</v>
      </c>
      <c r="B41" s="80">
        <v>1031.68</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8.2799999999999994</v>
      </c>
      <c r="BH41" s="58">
        <v>14.99</v>
      </c>
      <c r="BI41" s="58">
        <v>17.14</v>
      </c>
      <c r="BJ41" s="58">
        <v>18.98</v>
      </c>
      <c r="BK41" s="58">
        <v>18.059999999999999</v>
      </c>
      <c r="BL41" s="58">
        <v>19.989999999999998</v>
      </c>
      <c r="BM41" s="58">
        <v>21.66</v>
      </c>
      <c r="BN41" s="58">
        <v>23.12</v>
      </c>
      <c r="BO41" s="67"/>
      <c r="BP41" s="66">
        <v>4.43</v>
      </c>
      <c r="BQ41" s="67">
        <v>30.94</v>
      </c>
      <c r="BR41" s="66">
        <v>2.79</v>
      </c>
      <c r="BS41" s="67">
        <v>72.61</v>
      </c>
      <c r="BT41" s="66">
        <v>11.66</v>
      </c>
      <c r="BU41" s="67">
        <v>21.61</v>
      </c>
      <c r="BV41" s="66">
        <v>10.39</v>
      </c>
      <c r="BW41" s="67">
        <v>23.2</v>
      </c>
      <c r="BX41" s="66">
        <v>8.57</v>
      </c>
      <c r="BY41" s="67">
        <v>31.36</v>
      </c>
      <c r="BZ41" s="66">
        <v>11.87</v>
      </c>
      <c r="CA41" s="67">
        <v>32.700000000000003</v>
      </c>
      <c r="CB41" s="66">
        <v>12.98</v>
      </c>
      <c r="CC41" s="67">
        <v>33.75</v>
      </c>
      <c r="CD41" s="66">
        <v>15.2</v>
      </c>
      <c r="CE41" s="67">
        <v>30.01</v>
      </c>
      <c r="CF41" s="66">
        <v>16.940000000000001</v>
      </c>
      <c r="CG41" s="67">
        <v>35.869999999999997</v>
      </c>
      <c r="CH41" s="66">
        <v>23.12</v>
      </c>
      <c r="CI41" s="67">
        <v>28.87</v>
      </c>
      <c r="CJ41" s="66">
        <v>22.66</v>
      </c>
      <c r="CK41" s="67">
        <v>26.69</v>
      </c>
      <c r="CL41" s="66">
        <v>15.29</v>
      </c>
      <c r="CM41" s="67">
        <v>54.99</v>
      </c>
      <c r="CN41" s="66">
        <v>17.5</v>
      </c>
      <c r="CO41" s="67">
        <v>61.15</v>
      </c>
      <c r="CP41" s="66">
        <v>36.450000000000003</v>
      </c>
      <c r="CQ41" s="67">
        <v>37.15</v>
      </c>
      <c r="CR41" s="66">
        <v>59.4</v>
      </c>
      <c r="CS41" s="67">
        <v>17.37</v>
      </c>
      <c r="CT41" s="66">
        <v>82.84</v>
      </c>
      <c r="CU41" s="67">
        <v>12.45</v>
      </c>
      <c r="CV41" s="67"/>
      <c r="CW41" s="304">
        <v>137.085894</v>
      </c>
      <c r="CX41" s="304">
        <v>202.58402699999999</v>
      </c>
      <c r="CY41" s="304">
        <v>251.92909297019099</v>
      </c>
      <c r="CZ41" s="298">
        <v>241.05</v>
      </c>
      <c r="DA41" s="299">
        <v>268.88</v>
      </c>
      <c r="DB41" s="298">
        <v>388.16</v>
      </c>
      <c r="DC41" s="298">
        <v>438.01</v>
      </c>
      <c r="DD41" s="298">
        <v>456.15</v>
      </c>
      <c r="DE41" s="298">
        <v>607.80999999999995</v>
      </c>
      <c r="DF41" s="298">
        <v>667.42</v>
      </c>
      <c r="DG41" s="298">
        <v>604.86</v>
      </c>
      <c r="DH41" s="298">
        <v>840.51</v>
      </c>
      <c r="DI41" s="298">
        <v>1070.06</v>
      </c>
      <c r="DJ41" s="298">
        <v>1353.92</v>
      </c>
      <c r="DK41" s="112" t="s">
        <v>90</v>
      </c>
    </row>
    <row r="42" spans="1:115" x14ac:dyDescent="0.4">
      <c r="A42" s="64" t="s">
        <v>91</v>
      </c>
      <c r="B42" s="80">
        <v>631.83000000000004</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13.02</v>
      </c>
      <c r="BH42" s="58">
        <v>16.75</v>
      </c>
      <c r="BI42" s="58">
        <v>15.98</v>
      </c>
      <c r="BJ42" s="58">
        <v>14.1</v>
      </c>
      <c r="BK42" s="58">
        <v>16.22</v>
      </c>
      <c r="BL42" s="58">
        <v>17.78</v>
      </c>
      <c r="BM42" s="58">
        <v>16.309999999999999</v>
      </c>
      <c r="BN42" s="58">
        <v>15.57</v>
      </c>
      <c r="BO42" s="67"/>
      <c r="BP42" s="66">
        <v>5.23</v>
      </c>
      <c r="BQ42" s="67">
        <v>32.1</v>
      </c>
      <c r="BR42" s="66">
        <v>9.82</v>
      </c>
      <c r="BS42" s="67">
        <v>25.01</v>
      </c>
      <c r="BT42" s="66">
        <v>12.94</v>
      </c>
      <c r="BU42" s="67">
        <v>22.23</v>
      </c>
      <c r="BV42" s="66">
        <v>15.73</v>
      </c>
      <c r="BW42" s="67">
        <v>16.62</v>
      </c>
      <c r="BX42" s="66">
        <v>14.37</v>
      </c>
      <c r="BY42" s="67">
        <v>22.56</v>
      </c>
      <c r="BZ42" s="66">
        <v>12.04</v>
      </c>
      <c r="CA42" s="67">
        <v>36.22</v>
      </c>
      <c r="CB42" s="66">
        <v>18.79</v>
      </c>
      <c r="CC42" s="67">
        <v>23.06</v>
      </c>
      <c r="CD42" s="66">
        <v>10.32</v>
      </c>
      <c r="CE42" s="67">
        <v>30.8</v>
      </c>
      <c r="CF42" s="66">
        <v>19.09</v>
      </c>
      <c r="CG42" s="67">
        <v>25.45</v>
      </c>
      <c r="CH42" s="66">
        <v>23.22</v>
      </c>
      <c r="CI42" s="67">
        <v>22.75</v>
      </c>
      <c r="CJ42" s="66">
        <v>26.07</v>
      </c>
      <c r="CK42" s="67">
        <v>15.58</v>
      </c>
      <c r="CL42" s="66">
        <v>21.31</v>
      </c>
      <c r="CM42" s="67">
        <v>22.69</v>
      </c>
      <c r="CN42" s="66">
        <v>12.44</v>
      </c>
      <c r="CO42" s="67">
        <v>46.89</v>
      </c>
      <c r="CP42" s="66">
        <v>34.86</v>
      </c>
      <c r="CQ42" s="67">
        <v>19.64</v>
      </c>
      <c r="CR42" s="66">
        <v>59.85</v>
      </c>
      <c r="CS42" s="67">
        <v>10.56</v>
      </c>
      <c r="CT42" s="66">
        <v>65.88</v>
      </c>
      <c r="CU42" s="67">
        <v>9.59</v>
      </c>
      <c r="CV42" s="67"/>
      <c r="CW42" s="304">
        <v>167.886177</v>
      </c>
      <c r="CX42" s="304">
        <v>245.56984800000001</v>
      </c>
      <c r="CY42" s="304">
        <v>287.68724360763201</v>
      </c>
      <c r="CZ42" s="298">
        <v>261.44</v>
      </c>
      <c r="DA42" s="299">
        <v>324.22000000000003</v>
      </c>
      <c r="DB42" s="298">
        <v>436.1</v>
      </c>
      <c r="DC42" s="298">
        <v>433.19</v>
      </c>
      <c r="DD42" s="298">
        <v>317.93</v>
      </c>
      <c r="DE42" s="298">
        <v>485.75</v>
      </c>
      <c r="DF42" s="298">
        <v>528.41</v>
      </c>
      <c r="DG42" s="298">
        <v>406.33</v>
      </c>
      <c r="DH42" s="298">
        <v>483.58</v>
      </c>
      <c r="DI42" s="298">
        <v>583.08000000000004</v>
      </c>
      <c r="DJ42" s="298">
        <v>684.55</v>
      </c>
      <c r="DK42" s="112" t="s">
        <v>91</v>
      </c>
    </row>
    <row r="43" spans="1:115" x14ac:dyDescent="0.4">
      <c r="A43" s="64" t="s">
        <v>386</v>
      </c>
      <c r="B43" s="80">
        <v>3.27</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0.01</v>
      </c>
      <c r="BH43" s="58">
        <v>0.05</v>
      </c>
      <c r="BI43" s="58">
        <v>0.05</v>
      </c>
      <c r="BJ43" s="58">
        <v>7.0000000000000007E-2</v>
      </c>
      <c r="BK43" s="58">
        <v>0.05</v>
      </c>
      <c r="BL43" s="58">
        <v>0.06</v>
      </c>
      <c r="BM43" s="58">
        <v>0.06</v>
      </c>
      <c r="BN43" s="58">
        <v>7.0000000000000007E-2</v>
      </c>
      <c r="BO43" s="67"/>
      <c r="BP43" s="66">
        <v>0.46</v>
      </c>
      <c r="BQ43" s="67">
        <v>10.58</v>
      </c>
      <c r="BR43" s="66">
        <v>0.11</v>
      </c>
      <c r="BS43" s="67">
        <v>24.85</v>
      </c>
      <c r="BT43" s="66">
        <v>0.14000000000000001</v>
      </c>
      <c r="BU43" s="67">
        <v>20.63</v>
      </c>
      <c r="BV43" s="66">
        <v>0.15</v>
      </c>
      <c r="BW43" s="67">
        <v>15.73</v>
      </c>
      <c r="BX43" s="66">
        <v>0.09</v>
      </c>
      <c r="BY43" s="67">
        <v>26.48</v>
      </c>
      <c r="BZ43" s="66">
        <v>0.08</v>
      </c>
      <c r="CA43" s="67">
        <v>31.73</v>
      </c>
      <c r="CB43" s="66">
        <v>0.18</v>
      </c>
      <c r="CC43" s="67">
        <v>13.47</v>
      </c>
      <c r="CD43" s="66">
        <v>0.08</v>
      </c>
      <c r="CE43" s="67">
        <v>30.34</v>
      </c>
      <c r="CF43" s="66">
        <v>7.0000000000000007E-2</v>
      </c>
      <c r="CG43" s="67">
        <v>43.44</v>
      </c>
      <c r="CH43" s="66">
        <v>0.01</v>
      </c>
      <c r="CI43" s="67">
        <v>322.20999999999998</v>
      </c>
      <c r="CJ43" s="66">
        <v>-0.01</v>
      </c>
      <c r="CK43" s="67">
        <v>-537.96</v>
      </c>
      <c r="CL43" s="66">
        <v>0</v>
      </c>
      <c r="CM43" s="67">
        <v>1071.3900000000001</v>
      </c>
      <c r="CN43" s="66">
        <v>0</v>
      </c>
      <c r="CO43" s="67">
        <v>-2171.5300000000002</v>
      </c>
      <c r="CP43" s="66">
        <v>0.1</v>
      </c>
      <c r="CQ43" s="67">
        <v>41.24</v>
      </c>
      <c r="CR43" s="66">
        <v>0.19</v>
      </c>
      <c r="CS43" s="67">
        <v>16.850000000000001</v>
      </c>
      <c r="CT43" s="66">
        <v>0.25</v>
      </c>
      <c r="CU43" s="67">
        <v>13.3</v>
      </c>
      <c r="CV43" s="67"/>
      <c r="CW43" s="304">
        <v>4.8689799999999996</v>
      </c>
      <c r="CX43" s="304">
        <v>2.733466</v>
      </c>
      <c r="CY43" s="304">
        <v>2.78718630060018</v>
      </c>
      <c r="CZ43" s="298">
        <v>2.35</v>
      </c>
      <c r="DA43" s="299">
        <v>2.42</v>
      </c>
      <c r="DB43" s="298">
        <v>2.54</v>
      </c>
      <c r="DC43" s="298">
        <v>2.46</v>
      </c>
      <c r="DD43" s="298">
        <v>2.4700000000000002</v>
      </c>
      <c r="DE43" s="298">
        <v>2.9</v>
      </c>
      <c r="DF43" s="298">
        <v>2.84</v>
      </c>
      <c r="DG43" s="298">
        <v>2.8</v>
      </c>
      <c r="DH43" s="298">
        <v>2.88</v>
      </c>
      <c r="DI43" s="298">
        <v>3.42</v>
      </c>
      <c r="DJ43" s="298">
        <v>4.3099999999999996</v>
      </c>
      <c r="DK43" s="112" t="s">
        <v>386</v>
      </c>
    </row>
    <row r="44" spans="1:115" x14ac:dyDescent="0.4">
      <c r="A44" s="64" t="s">
        <v>92</v>
      </c>
      <c r="B44" s="80">
        <v>1066.6099999999999</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6.01</v>
      </c>
      <c r="BI44" s="58">
        <v>5.62</v>
      </c>
      <c r="BJ44" s="58">
        <v>14.14</v>
      </c>
      <c r="BK44" s="58">
        <v>21.93</v>
      </c>
      <c r="BL44" s="58">
        <v>6.94</v>
      </c>
      <c r="BM44" s="58">
        <v>5.81</v>
      </c>
      <c r="BN44" s="58">
        <v>14.94</v>
      </c>
      <c r="BO44" s="67"/>
      <c r="BP44" s="66">
        <v>24.45</v>
      </c>
      <c r="BQ44" s="67">
        <v>15.39</v>
      </c>
      <c r="BR44" s="66">
        <v>23.26</v>
      </c>
      <c r="BS44" s="67">
        <v>16.46</v>
      </c>
      <c r="BT44" s="66">
        <v>27.65</v>
      </c>
      <c r="BU44" s="67">
        <v>15.74</v>
      </c>
      <c r="BV44" s="66">
        <v>30.26</v>
      </c>
      <c r="BW44" s="67">
        <v>16.52</v>
      </c>
      <c r="BX44" s="66">
        <v>29.07</v>
      </c>
      <c r="BY44" s="67">
        <v>16.7</v>
      </c>
      <c r="BZ44" s="66">
        <v>30.48</v>
      </c>
      <c r="CA44" s="67">
        <v>18.600000000000001</v>
      </c>
      <c r="CB44" s="66">
        <v>36.76</v>
      </c>
      <c r="CC44" s="67">
        <v>18.16</v>
      </c>
      <c r="CD44" s="66">
        <v>35.14</v>
      </c>
      <c r="CE44" s="67">
        <v>19.73</v>
      </c>
      <c r="CF44" s="66">
        <v>35.67</v>
      </c>
      <c r="CG44" s="67">
        <v>23.24</v>
      </c>
      <c r="CH44" s="66">
        <v>36.21</v>
      </c>
      <c r="CI44" s="67">
        <v>26.5</v>
      </c>
      <c r="CJ44" s="66">
        <v>38.93</v>
      </c>
      <c r="CK44" s="67">
        <v>23.85</v>
      </c>
      <c r="CL44" s="66">
        <v>37.53</v>
      </c>
      <c r="CM44" s="67">
        <v>29.67</v>
      </c>
      <c r="CN44" s="66">
        <v>37.89</v>
      </c>
      <c r="CO44" s="67">
        <v>25.47</v>
      </c>
      <c r="CP44" s="66">
        <v>44.97</v>
      </c>
      <c r="CQ44" s="67">
        <v>26.31</v>
      </c>
      <c r="CR44" s="66">
        <v>45.18</v>
      </c>
      <c r="CS44" s="67">
        <v>23.61</v>
      </c>
      <c r="CT44" s="66">
        <v>49.63</v>
      </c>
      <c r="CU44" s="67">
        <v>21.49</v>
      </c>
      <c r="CV44" s="67"/>
      <c r="CW44" s="304">
        <v>376.25567999999998</v>
      </c>
      <c r="CX44" s="304">
        <v>382.95429799999999</v>
      </c>
      <c r="CY44" s="304">
        <v>435.23831515996199</v>
      </c>
      <c r="CZ44" s="298">
        <v>500.03</v>
      </c>
      <c r="DA44" s="299">
        <v>485.39</v>
      </c>
      <c r="DB44" s="298">
        <v>566.92999999999995</v>
      </c>
      <c r="DC44" s="298">
        <v>667.54</v>
      </c>
      <c r="DD44" s="298">
        <v>693.15</v>
      </c>
      <c r="DE44" s="298">
        <v>828.85</v>
      </c>
      <c r="DF44" s="298">
        <v>959.55</v>
      </c>
      <c r="DG44" s="298">
        <v>928.45</v>
      </c>
      <c r="DH44" s="298">
        <v>1113.3599999999999</v>
      </c>
      <c r="DI44" s="298">
        <v>965</v>
      </c>
      <c r="DJ44" s="298">
        <v>1183.1600000000001</v>
      </c>
      <c r="DK44" s="112" t="s">
        <v>92</v>
      </c>
    </row>
    <row r="45" spans="1:115" s="102" customFormat="1" x14ac:dyDescent="0.4">
      <c r="A45" s="72" t="s">
        <v>312</v>
      </c>
      <c r="B45" s="80">
        <v>176.34</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1.52</v>
      </c>
      <c r="BI45" s="58">
        <v>1.73</v>
      </c>
      <c r="BJ45" s="58">
        <v>1.35</v>
      </c>
      <c r="BK45" s="58"/>
      <c r="BL45" s="58"/>
      <c r="BM45" s="58"/>
      <c r="BN45" s="58"/>
      <c r="BO45" s="101"/>
      <c r="BP45" s="100"/>
      <c r="BQ45" s="101"/>
      <c r="BR45" s="100"/>
      <c r="BS45" s="101"/>
      <c r="BT45" s="100"/>
      <c r="BU45" s="101"/>
      <c r="BV45" s="100"/>
      <c r="BW45" s="101"/>
      <c r="BX45" s="100"/>
      <c r="BY45" s="101"/>
      <c r="BZ45" s="100">
        <v>4.32</v>
      </c>
      <c r="CA45" s="101">
        <v>36.299999999999997</v>
      </c>
      <c r="CB45" s="66">
        <v>6.43</v>
      </c>
      <c r="CC45" s="67">
        <v>28.64</v>
      </c>
      <c r="CD45" s="66">
        <v>5.51</v>
      </c>
      <c r="CE45" s="67">
        <v>30.52</v>
      </c>
      <c r="CF45" s="66">
        <v>6.92</v>
      </c>
      <c r="CG45" s="101">
        <v>29.04</v>
      </c>
      <c r="CH45" s="100">
        <v>6.12</v>
      </c>
      <c r="CI45" s="101">
        <v>33.25</v>
      </c>
      <c r="CJ45" s="100">
        <v>4.32</v>
      </c>
      <c r="CK45" s="101">
        <v>39.619999999999997</v>
      </c>
      <c r="CL45" s="66">
        <v>6.02</v>
      </c>
      <c r="CM45" s="67">
        <v>34.229999999999997</v>
      </c>
      <c r="CN45" s="100">
        <v>0.13</v>
      </c>
      <c r="CO45" s="101">
        <v>1416</v>
      </c>
      <c r="CP45" s="100">
        <v>5.08</v>
      </c>
      <c r="CQ45" s="101">
        <v>44.16</v>
      </c>
      <c r="CR45" s="100">
        <v>5.69</v>
      </c>
      <c r="CS45" s="101">
        <v>30.97</v>
      </c>
      <c r="CT45" s="100"/>
      <c r="CU45" s="101"/>
      <c r="CV45" s="67"/>
      <c r="CW45" s="101"/>
      <c r="CX45" s="101"/>
      <c r="CY45" s="101"/>
      <c r="CZ45" s="298"/>
      <c r="DA45" s="299"/>
      <c r="DB45" s="298"/>
      <c r="DC45" s="298"/>
      <c r="DD45" s="298"/>
      <c r="DE45" s="298">
        <v>201.01</v>
      </c>
      <c r="DF45" s="298">
        <v>203.41</v>
      </c>
      <c r="DG45" s="298">
        <v>171.09</v>
      </c>
      <c r="DH45" s="298">
        <v>206.13</v>
      </c>
      <c r="DI45" s="298">
        <v>177.5</v>
      </c>
      <c r="DJ45" s="298">
        <v>224.12</v>
      </c>
      <c r="DK45" s="112" t="s">
        <v>507</v>
      </c>
    </row>
    <row r="46" spans="1:115" s="102" customFormat="1" x14ac:dyDescent="0.4">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101"/>
      <c r="BP46" s="100"/>
      <c r="BQ46" s="101"/>
      <c r="BR46" s="100"/>
      <c r="BS46" s="101"/>
      <c r="BT46" s="100"/>
      <c r="BU46" s="101"/>
      <c r="BV46" s="100"/>
      <c r="BW46" s="101"/>
      <c r="BX46" s="100"/>
      <c r="BY46" s="101"/>
      <c r="BZ46" s="100"/>
      <c r="CA46" s="101"/>
      <c r="CB46" s="66"/>
      <c r="CC46" s="67"/>
      <c r="CD46" s="66"/>
      <c r="CE46" s="67"/>
      <c r="CF46" s="66"/>
      <c r="CG46" s="101"/>
      <c r="CH46" s="100"/>
      <c r="CI46" s="101"/>
      <c r="CJ46" s="100"/>
      <c r="CK46" s="101"/>
      <c r="CL46" s="66"/>
      <c r="CM46" s="67"/>
      <c r="CN46" s="100"/>
      <c r="CO46" s="101"/>
      <c r="CP46" s="100"/>
      <c r="CQ46" s="101"/>
      <c r="CR46" s="100"/>
      <c r="CS46" s="101"/>
      <c r="CT46" s="100"/>
      <c r="CU46" s="101"/>
      <c r="CV46" s="67"/>
      <c r="CW46" s="101"/>
      <c r="CX46" s="101"/>
      <c r="CY46" s="101"/>
      <c r="CZ46" s="298"/>
      <c r="DA46" s="299"/>
      <c r="DB46" s="298"/>
      <c r="DC46" s="298"/>
      <c r="DD46" s="298"/>
      <c r="DE46" s="298"/>
      <c r="DF46" s="298"/>
      <c r="DG46" s="298"/>
      <c r="DH46" s="298"/>
      <c r="DI46" s="298"/>
      <c r="DJ46" s="298"/>
      <c r="DK46" s="112"/>
    </row>
    <row r="47" spans="1:115" s="102" customFormat="1" x14ac:dyDescent="0.4">
      <c r="A47" s="64" t="s">
        <v>159</v>
      </c>
      <c r="B47" s="80">
        <v>896.87</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11.58</v>
      </c>
      <c r="BH47" s="58">
        <v>12.99</v>
      </c>
      <c r="BI47" s="58">
        <v>13.87</v>
      </c>
      <c r="BJ47" s="58">
        <v>14.21</v>
      </c>
      <c r="BK47" s="58">
        <v>13.73</v>
      </c>
      <c r="BL47" s="58">
        <v>14.31</v>
      </c>
      <c r="BM47" s="58">
        <v>14.94</v>
      </c>
      <c r="BN47" s="58">
        <v>15.37</v>
      </c>
      <c r="BO47" s="101"/>
      <c r="BP47" s="100">
        <v>11.12</v>
      </c>
      <c r="BQ47" s="101">
        <v>18.43</v>
      </c>
      <c r="BR47" s="100">
        <v>12.47</v>
      </c>
      <c r="BS47" s="101">
        <v>20.43</v>
      </c>
      <c r="BT47" s="100">
        <v>18.64</v>
      </c>
      <c r="BU47" s="101">
        <v>15.61</v>
      </c>
      <c r="BV47" s="100">
        <v>21.5</v>
      </c>
      <c r="BW47" s="101">
        <v>13.5</v>
      </c>
      <c r="BX47" s="100">
        <v>21.73</v>
      </c>
      <c r="BY47" s="101">
        <v>15.18</v>
      </c>
      <c r="BZ47" s="100">
        <v>24.12</v>
      </c>
      <c r="CA47" s="101">
        <v>17.79</v>
      </c>
      <c r="CB47" s="66">
        <v>25.31</v>
      </c>
      <c r="CC47" s="67">
        <v>18.8</v>
      </c>
      <c r="CD47" s="66">
        <v>22.52</v>
      </c>
      <c r="CE47" s="67">
        <v>20.91</v>
      </c>
      <c r="CF47" s="66">
        <v>24.1</v>
      </c>
      <c r="CG47" s="101">
        <v>21.62</v>
      </c>
      <c r="CH47" s="100">
        <v>28.34</v>
      </c>
      <c r="CI47" s="101">
        <v>21.84</v>
      </c>
      <c r="CJ47" s="100">
        <v>34.56</v>
      </c>
      <c r="CK47" s="101">
        <v>16.7</v>
      </c>
      <c r="CL47" s="66">
        <v>35.54</v>
      </c>
      <c r="CM47" s="67">
        <v>20.84</v>
      </c>
      <c r="CN47" s="100">
        <v>27.14</v>
      </c>
      <c r="CO47" s="101">
        <v>31.61</v>
      </c>
      <c r="CP47" s="100">
        <v>48.34</v>
      </c>
      <c r="CQ47" s="101">
        <v>22.47</v>
      </c>
      <c r="CR47" s="100">
        <v>52.65</v>
      </c>
      <c r="CS47" s="101">
        <v>17.04</v>
      </c>
      <c r="CT47" s="100">
        <v>58.35</v>
      </c>
      <c r="CU47" s="101">
        <v>15.37</v>
      </c>
      <c r="CV47" s="67"/>
      <c r="CW47" s="101">
        <v>204.93180699999999</v>
      </c>
      <c r="CX47" s="101">
        <v>254.785774</v>
      </c>
      <c r="CY47" s="101">
        <v>254.785774</v>
      </c>
      <c r="CZ47" s="298">
        <v>290.12</v>
      </c>
      <c r="DA47" s="299">
        <v>329.78</v>
      </c>
      <c r="DB47" s="298">
        <v>429.1</v>
      </c>
      <c r="DC47" s="298">
        <v>475.8</v>
      </c>
      <c r="DD47" s="298">
        <v>470.91</v>
      </c>
      <c r="DE47" s="298">
        <v>521.04</v>
      </c>
      <c r="DF47" s="298">
        <v>618.99</v>
      </c>
      <c r="DG47" s="298">
        <v>577.11</v>
      </c>
      <c r="DH47" s="298">
        <v>740.69</v>
      </c>
      <c r="DI47" s="298">
        <v>857.79</v>
      </c>
      <c r="DJ47" s="298">
        <v>1086.44</v>
      </c>
      <c r="DK47" s="112" t="s">
        <v>159</v>
      </c>
    </row>
    <row r="48" spans="1:115" s="102" customFormat="1" x14ac:dyDescent="0.4">
      <c r="A48" s="64" t="s">
        <v>160</v>
      </c>
      <c r="B48" s="80">
        <v>1039.44</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7.28</v>
      </c>
      <c r="BH48" s="58">
        <v>11.91</v>
      </c>
      <c r="BI48" s="58">
        <v>14.39</v>
      </c>
      <c r="BJ48" s="58">
        <v>14.44</v>
      </c>
      <c r="BK48" s="58">
        <v>13.14</v>
      </c>
      <c r="BL48" s="58">
        <v>15.62</v>
      </c>
      <c r="BM48" s="58">
        <v>16.93</v>
      </c>
      <c r="BN48" s="58">
        <v>16.75</v>
      </c>
      <c r="BO48" s="101"/>
      <c r="BP48" s="100">
        <v>4.87</v>
      </c>
      <c r="BQ48" s="101">
        <v>32.299999999999997</v>
      </c>
      <c r="BR48" s="100">
        <v>10.06</v>
      </c>
      <c r="BS48" s="101">
        <v>22.06</v>
      </c>
      <c r="BT48" s="100">
        <v>16.649999999999999</v>
      </c>
      <c r="BU48" s="101">
        <v>16.899999999999999</v>
      </c>
      <c r="BV48" s="100">
        <v>19.079999999999998</v>
      </c>
      <c r="BW48" s="101">
        <v>15.3</v>
      </c>
      <c r="BX48" s="100">
        <v>20.71</v>
      </c>
      <c r="BY48" s="101">
        <v>17.18</v>
      </c>
      <c r="BZ48" s="100">
        <v>23.44</v>
      </c>
      <c r="CA48" s="101">
        <v>21.45</v>
      </c>
      <c r="CB48" s="66">
        <v>25.87</v>
      </c>
      <c r="CC48" s="67">
        <v>20.99</v>
      </c>
      <c r="CD48" s="66">
        <v>28.4</v>
      </c>
      <c r="CE48" s="67">
        <v>20.309999999999999</v>
      </c>
      <c r="CF48" s="66">
        <v>31.29</v>
      </c>
      <c r="CG48" s="101">
        <v>19.36</v>
      </c>
      <c r="CH48" s="100">
        <v>33.18</v>
      </c>
      <c r="CI48" s="101">
        <v>22.05</v>
      </c>
      <c r="CJ48" s="100">
        <v>38.28</v>
      </c>
      <c r="CK48" s="101">
        <v>18.68</v>
      </c>
      <c r="CL48" s="66">
        <v>37.090000000000003</v>
      </c>
      <c r="CM48" s="67">
        <v>24.23</v>
      </c>
      <c r="CN48" s="100">
        <v>26.86</v>
      </c>
      <c r="CO48" s="101">
        <v>44.04</v>
      </c>
      <c r="CP48" s="100">
        <v>48.03</v>
      </c>
      <c r="CQ48" s="101">
        <v>30.65</v>
      </c>
      <c r="CR48" s="100">
        <v>48.02</v>
      </c>
      <c r="CS48" s="101">
        <v>21.65</v>
      </c>
      <c r="CT48" s="100">
        <v>62.44</v>
      </c>
      <c r="CU48" s="101">
        <v>16.649999999999999</v>
      </c>
      <c r="CV48" s="67"/>
      <c r="CW48" s="101">
        <v>157.30288400000001</v>
      </c>
      <c r="CX48" s="101">
        <v>221.964673</v>
      </c>
      <c r="CY48" s="101">
        <v>221.964673</v>
      </c>
      <c r="CZ48" s="298">
        <v>291.89999999999998</v>
      </c>
      <c r="DA48" s="299">
        <v>355.82</v>
      </c>
      <c r="DB48" s="298">
        <v>502.69</v>
      </c>
      <c r="DC48" s="298">
        <v>543.08000000000004</v>
      </c>
      <c r="DD48" s="298">
        <v>576.91999999999996</v>
      </c>
      <c r="DE48" s="298">
        <v>605.63</v>
      </c>
      <c r="DF48" s="298">
        <v>731.48</v>
      </c>
      <c r="DG48" s="298">
        <v>714.82</v>
      </c>
      <c r="DH48" s="298">
        <v>898.45</v>
      </c>
      <c r="DI48" s="298">
        <v>1182.83</v>
      </c>
      <c r="DJ48" s="298">
        <v>1471.91</v>
      </c>
      <c r="DK48" s="112" t="s">
        <v>160</v>
      </c>
    </row>
    <row r="49" spans="1:115" s="102" customFormat="1" x14ac:dyDescent="0.4">
      <c r="A49" s="64" t="s">
        <v>161</v>
      </c>
      <c r="B49" s="80">
        <v>831.31</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9.3699999999999992</v>
      </c>
      <c r="BH49" s="58">
        <v>9.34</v>
      </c>
      <c r="BI49" s="58">
        <v>10.119999999999999</v>
      </c>
      <c r="BJ49" s="58">
        <v>9.89</v>
      </c>
      <c r="BK49" s="58">
        <v>9.91</v>
      </c>
      <c r="BL49" s="58">
        <v>10.24</v>
      </c>
      <c r="BM49" s="58">
        <v>11.09</v>
      </c>
      <c r="BN49" s="58">
        <v>10.45</v>
      </c>
      <c r="BO49" s="101"/>
      <c r="BP49" s="100">
        <v>17.63</v>
      </c>
      <c r="BQ49" s="101">
        <v>14.41</v>
      </c>
      <c r="BR49" s="100">
        <v>18.89</v>
      </c>
      <c r="BS49" s="101">
        <v>15.02</v>
      </c>
      <c r="BT49" s="100">
        <v>20.16</v>
      </c>
      <c r="BU49" s="101">
        <v>15.65</v>
      </c>
      <c r="BV49" s="100">
        <v>22.19</v>
      </c>
      <c r="BW49" s="101">
        <v>15.77</v>
      </c>
      <c r="BX49" s="100">
        <v>23.53</v>
      </c>
      <c r="BY49" s="101">
        <v>16.03</v>
      </c>
      <c r="BZ49" s="100">
        <v>24.94</v>
      </c>
      <c r="CA49" s="101">
        <v>18.649999999999999</v>
      </c>
      <c r="CB49" s="66">
        <v>25.33</v>
      </c>
      <c r="CC49" s="67">
        <v>20.84</v>
      </c>
      <c r="CD49" s="66">
        <v>25.69</v>
      </c>
      <c r="CE49" s="67">
        <v>21.25</v>
      </c>
      <c r="CF49" s="66">
        <v>26.67</v>
      </c>
      <c r="CG49" s="101">
        <v>21.1</v>
      </c>
      <c r="CH49" s="100">
        <v>28.68</v>
      </c>
      <c r="CI49" s="101">
        <v>21.62</v>
      </c>
      <c r="CJ49" s="100">
        <v>30.79</v>
      </c>
      <c r="CK49" s="101">
        <v>17.920000000000002</v>
      </c>
      <c r="CL49" s="66">
        <v>31.94</v>
      </c>
      <c r="CM49" s="67">
        <v>21.32</v>
      </c>
      <c r="CN49" s="100">
        <v>33.909999999999997</v>
      </c>
      <c r="CO49" s="101">
        <v>21.7</v>
      </c>
      <c r="CP49" s="100">
        <v>37.33</v>
      </c>
      <c r="CQ49" s="101">
        <v>22.76</v>
      </c>
      <c r="CR49" s="100">
        <v>38.71</v>
      </c>
      <c r="CS49" s="101">
        <v>21.47</v>
      </c>
      <c r="CT49" s="100">
        <v>41.69</v>
      </c>
      <c r="CU49" s="101">
        <v>19.940000000000001</v>
      </c>
      <c r="CV49" s="67"/>
      <c r="CW49" s="101">
        <v>253.99034599999999</v>
      </c>
      <c r="CX49" s="101">
        <v>283.697003</v>
      </c>
      <c r="CY49" s="101">
        <v>283.697003</v>
      </c>
      <c r="CZ49" s="298">
        <v>349.81</v>
      </c>
      <c r="DA49" s="299">
        <v>377.01</v>
      </c>
      <c r="DB49" s="298">
        <v>465.29</v>
      </c>
      <c r="DC49" s="298">
        <v>527.99</v>
      </c>
      <c r="DD49" s="298">
        <v>545.97</v>
      </c>
      <c r="DE49" s="298">
        <v>562.89</v>
      </c>
      <c r="DF49" s="298">
        <v>620.03</v>
      </c>
      <c r="DG49" s="298">
        <v>551.64</v>
      </c>
      <c r="DH49" s="298">
        <v>680.96</v>
      </c>
      <c r="DI49" s="298">
        <v>735.68</v>
      </c>
      <c r="DJ49" s="298">
        <v>849.7</v>
      </c>
      <c r="DK49" s="112" t="s">
        <v>161</v>
      </c>
    </row>
    <row r="50" spans="1:115" s="102" customFormat="1" x14ac:dyDescent="0.4">
      <c r="A50" s="64" t="s">
        <v>162</v>
      </c>
      <c r="B50" s="80">
        <v>589.46</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11.16</v>
      </c>
      <c r="BH50" s="58">
        <v>18.16</v>
      </c>
      <c r="BI50" s="58">
        <v>17.78</v>
      </c>
      <c r="BJ50" s="58">
        <v>16.079999999999998</v>
      </c>
      <c r="BK50" s="58">
        <v>15</v>
      </c>
      <c r="BL50" s="58">
        <v>15.27</v>
      </c>
      <c r="BM50" s="58">
        <v>15.07</v>
      </c>
      <c r="BN50" s="58">
        <v>14</v>
      </c>
      <c r="BO50" s="101"/>
      <c r="BP50" s="100">
        <v>50.8</v>
      </c>
      <c r="BQ50" s="101">
        <v>7.86</v>
      </c>
      <c r="BR50" s="100">
        <v>16.77</v>
      </c>
      <c r="BS50" s="101">
        <v>27.12</v>
      </c>
      <c r="BT50" s="100">
        <v>36.479999999999997</v>
      </c>
      <c r="BU50" s="101">
        <v>14.82</v>
      </c>
      <c r="BV50" s="100">
        <v>49.85</v>
      </c>
      <c r="BW50" s="101">
        <v>11.07</v>
      </c>
      <c r="BX50" s="100">
        <v>45.25</v>
      </c>
      <c r="BY50" s="101">
        <v>12.46</v>
      </c>
      <c r="BZ50" s="100">
        <v>43.5</v>
      </c>
      <c r="CA50" s="101">
        <v>15.9</v>
      </c>
      <c r="CB50" s="66">
        <v>43.08</v>
      </c>
      <c r="CC50" s="67">
        <v>14.25</v>
      </c>
      <c r="CD50" s="66">
        <v>-20.440000000000001</v>
      </c>
      <c r="CE50" s="67">
        <v>-22.7</v>
      </c>
      <c r="CF50" s="66">
        <v>-7.23</v>
      </c>
      <c r="CG50" s="101">
        <v>-79.349999999999994</v>
      </c>
      <c r="CH50" s="100">
        <v>12.33</v>
      </c>
      <c r="CI50" s="101">
        <v>44.35</v>
      </c>
      <c r="CJ50" s="100">
        <v>29.15</v>
      </c>
      <c r="CK50" s="101">
        <v>14.72</v>
      </c>
      <c r="CL50" s="66">
        <v>12.64</v>
      </c>
      <c r="CM50" s="67">
        <v>36.03</v>
      </c>
      <c r="CN50" s="100">
        <v>-35.869999999999997</v>
      </c>
      <c r="CO50" s="101">
        <v>-7.96</v>
      </c>
      <c r="CP50" s="100">
        <v>29.06</v>
      </c>
      <c r="CQ50" s="101">
        <v>14.59</v>
      </c>
      <c r="CR50" s="100">
        <v>63.17</v>
      </c>
      <c r="CS50" s="101">
        <v>9.33</v>
      </c>
      <c r="CT50" s="100">
        <v>59.34</v>
      </c>
      <c r="CU50" s="101">
        <v>9.93</v>
      </c>
      <c r="CV50" s="67"/>
      <c r="CW50" s="101">
        <v>399.124324</v>
      </c>
      <c r="CX50" s="101">
        <v>454.72875099999999</v>
      </c>
      <c r="CY50" s="101">
        <v>454.72875099999999</v>
      </c>
      <c r="CZ50" s="298">
        <v>551.87</v>
      </c>
      <c r="DA50" s="299">
        <v>563.64</v>
      </c>
      <c r="DB50" s="298">
        <v>691.56</v>
      </c>
      <c r="DC50" s="298">
        <v>613.71</v>
      </c>
      <c r="DD50" s="298">
        <v>463.95</v>
      </c>
      <c r="DE50" s="298">
        <v>573.98</v>
      </c>
      <c r="DF50" s="298">
        <v>546.99</v>
      </c>
      <c r="DG50" s="298">
        <v>429.19</v>
      </c>
      <c r="DH50" s="298">
        <v>455.33</v>
      </c>
      <c r="DI50" s="298">
        <v>285.42</v>
      </c>
      <c r="DJ50" s="298">
        <v>424.09</v>
      </c>
      <c r="DK50" s="112" t="s">
        <v>162</v>
      </c>
    </row>
    <row r="51" spans="1:115" s="102" customFormat="1" x14ac:dyDescent="0.4">
      <c r="A51" s="64" t="s">
        <v>163</v>
      </c>
      <c r="B51" s="80">
        <v>599.80999999999995</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v>
      </c>
      <c r="BH51" s="58">
        <v>11.64</v>
      </c>
      <c r="BI51" s="58">
        <v>12.25</v>
      </c>
      <c r="BJ51" s="58">
        <v>12.91</v>
      </c>
      <c r="BK51" s="58">
        <v>13.63</v>
      </c>
      <c r="BL51" s="58">
        <v>13.71</v>
      </c>
      <c r="BM51" s="58">
        <v>13.89</v>
      </c>
      <c r="BN51" s="58">
        <v>14.36</v>
      </c>
      <c r="BO51" s="101"/>
      <c r="BP51" s="100">
        <v>-19.61</v>
      </c>
      <c r="BQ51" s="101">
        <v>-9.59</v>
      </c>
      <c r="BR51" s="100">
        <v>4.51</v>
      </c>
      <c r="BS51" s="101">
        <v>47</v>
      </c>
      <c r="BT51" s="100">
        <v>15.09</v>
      </c>
      <c r="BU51" s="101">
        <v>15.69</v>
      </c>
      <c r="BV51" s="100">
        <v>16.690000000000001</v>
      </c>
      <c r="BW51" s="101">
        <v>11.83</v>
      </c>
      <c r="BX51" s="100">
        <v>17.41</v>
      </c>
      <c r="BY51" s="101">
        <v>14.09</v>
      </c>
      <c r="BZ51" s="100">
        <v>21.98</v>
      </c>
      <c r="CA51" s="101">
        <v>14.69</v>
      </c>
      <c r="CB51" s="66">
        <v>23.17</v>
      </c>
      <c r="CC51" s="67">
        <v>15.69</v>
      </c>
      <c r="CD51" s="66">
        <v>24.13</v>
      </c>
      <c r="CE51" s="67">
        <v>14.65</v>
      </c>
      <c r="CF51" s="66">
        <v>25.63</v>
      </c>
      <c r="CG51" s="101">
        <v>16.760000000000002</v>
      </c>
      <c r="CH51" s="100">
        <v>28.89</v>
      </c>
      <c r="CI51" s="101">
        <v>17.649999999999999</v>
      </c>
      <c r="CJ51" s="100">
        <v>33.97</v>
      </c>
      <c r="CK51" s="101">
        <v>12.81</v>
      </c>
      <c r="CL51" s="66">
        <v>46.85</v>
      </c>
      <c r="CM51" s="67">
        <v>11.91</v>
      </c>
      <c r="CN51" s="100">
        <v>35.14</v>
      </c>
      <c r="CO51" s="101">
        <v>15.18</v>
      </c>
      <c r="CP51" s="100">
        <v>63.98</v>
      </c>
      <c r="CQ51" s="101">
        <v>11.01</v>
      </c>
      <c r="CR51" s="100">
        <v>48.7</v>
      </c>
      <c r="CS51" s="101">
        <v>12.32</v>
      </c>
      <c r="CT51" s="100">
        <v>55.59</v>
      </c>
      <c r="CU51" s="101">
        <v>10.79</v>
      </c>
      <c r="CV51" s="67"/>
      <c r="CW51" s="101">
        <v>187.99776499999999</v>
      </c>
      <c r="CX51" s="101">
        <v>211.96466100000001</v>
      </c>
      <c r="CY51" s="101">
        <v>211.96466100000001</v>
      </c>
      <c r="CZ51" s="298">
        <v>197.47</v>
      </c>
      <c r="DA51" s="299">
        <v>245.32</v>
      </c>
      <c r="DB51" s="298">
        <v>322.92</v>
      </c>
      <c r="DC51" s="298">
        <v>363.69</v>
      </c>
      <c r="DD51" s="298">
        <v>353.45</v>
      </c>
      <c r="DE51" s="298">
        <v>429.46</v>
      </c>
      <c r="DF51" s="298">
        <v>509.92</v>
      </c>
      <c r="DG51" s="298">
        <v>435.01</v>
      </c>
      <c r="DH51" s="298">
        <v>557.87</v>
      </c>
      <c r="DI51" s="298">
        <v>533.52</v>
      </c>
      <c r="DJ51" s="298">
        <v>704.27</v>
      </c>
      <c r="DK51" s="112" t="s">
        <v>163</v>
      </c>
    </row>
    <row r="52" spans="1:115" s="102" customFormat="1" x14ac:dyDescent="0.4">
      <c r="A52" s="64" t="s">
        <v>164</v>
      </c>
      <c r="B52" s="80">
        <v>1532.51</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20.88</v>
      </c>
      <c r="BH52" s="58">
        <v>23.87</v>
      </c>
      <c r="BI52" s="58">
        <v>24.67</v>
      </c>
      <c r="BJ52" s="58">
        <v>23.73</v>
      </c>
      <c r="BK52" s="58">
        <v>24.01</v>
      </c>
      <c r="BL52" s="58">
        <v>23.9</v>
      </c>
      <c r="BM52" s="58">
        <v>24.62</v>
      </c>
      <c r="BN52" s="58">
        <v>24.6</v>
      </c>
      <c r="BO52" s="101"/>
      <c r="BP52" s="100">
        <v>23.65</v>
      </c>
      <c r="BQ52" s="101">
        <v>12.96</v>
      </c>
      <c r="BR52" s="100">
        <v>25.23</v>
      </c>
      <c r="BS52" s="101">
        <v>14.37</v>
      </c>
      <c r="BT52" s="100">
        <v>27.92</v>
      </c>
      <c r="BU52" s="101">
        <v>13.4</v>
      </c>
      <c r="BV52" s="100">
        <v>30.68</v>
      </c>
      <c r="BW52" s="101">
        <v>13.37</v>
      </c>
      <c r="BX52" s="100">
        <v>31.31</v>
      </c>
      <c r="BY52" s="101">
        <v>15.18</v>
      </c>
      <c r="BZ52" s="100">
        <v>32.369999999999997</v>
      </c>
      <c r="CA52" s="101">
        <v>20.51</v>
      </c>
      <c r="CB52" s="66">
        <v>36.07</v>
      </c>
      <c r="CC52" s="67">
        <v>22.62</v>
      </c>
      <c r="CD52" s="66">
        <v>39.32</v>
      </c>
      <c r="CE52" s="67">
        <v>21.96</v>
      </c>
      <c r="CF52" s="66">
        <v>42.66</v>
      </c>
      <c r="CG52" s="101">
        <v>19.5</v>
      </c>
      <c r="CH52" s="100">
        <v>45.13</v>
      </c>
      <c r="CI52" s="101">
        <v>22.22</v>
      </c>
      <c r="CJ52" s="100">
        <v>50.9</v>
      </c>
      <c r="CK52" s="101">
        <v>20.69</v>
      </c>
      <c r="CL52" s="66">
        <v>56.97</v>
      </c>
      <c r="CM52" s="67">
        <v>21.97</v>
      </c>
      <c r="CN52" s="100">
        <v>59.3</v>
      </c>
      <c r="CO52" s="101">
        <v>23.77</v>
      </c>
      <c r="CP52" s="100">
        <v>79.86</v>
      </c>
      <c r="CQ52" s="101">
        <v>21.72</v>
      </c>
      <c r="CR52" s="100">
        <v>93.15</v>
      </c>
      <c r="CS52" s="101">
        <v>16.45</v>
      </c>
      <c r="CT52" s="100">
        <v>97.14</v>
      </c>
      <c r="CU52" s="101">
        <v>15.78</v>
      </c>
      <c r="CV52" s="67"/>
      <c r="CW52" s="101">
        <v>306.441464</v>
      </c>
      <c r="CX52" s="101">
        <v>362.62085500000001</v>
      </c>
      <c r="CY52" s="101">
        <v>362.62085500000001</v>
      </c>
      <c r="CZ52" s="298">
        <v>410.14</v>
      </c>
      <c r="DA52" s="299">
        <v>475.27</v>
      </c>
      <c r="DB52" s="298">
        <v>663.81</v>
      </c>
      <c r="DC52" s="298">
        <v>815.87</v>
      </c>
      <c r="DD52" s="298">
        <v>863.43</v>
      </c>
      <c r="DE52" s="298">
        <v>832.05</v>
      </c>
      <c r="DF52" s="298">
        <v>1002.7</v>
      </c>
      <c r="DG52" s="298">
        <v>1053.1600000000001</v>
      </c>
      <c r="DH52" s="298">
        <v>1251.68</v>
      </c>
      <c r="DI52" s="298">
        <v>1409.79</v>
      </c>
      <c r="DJ52" s="298">
        <v>1734.44</v>
      </c>
      <c r="DK52" s="112" t="s">
        <v>164</v>
      </c>
    </row>
    <row r="53" spans="1:115" s="102" customFormat="1" x14ac:dyDescent="0.4">
      <c r="A53" s="64" t="s">
        <v>165</v>
      </c>
      <c r="B53" s="80">
        <v>840.03</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9.26</v>
      </c>
      <c r="BH53" s="58">
        <v>12.77</v>
      </c>
      <c r="BI53" s="58">
        <v>13.6</v>
      </c>
      <c r="BJ53" s="58">
        <v>13.19</v>
      </c>
      <c r="BK53" s="58">
        <v>12.27</v>
      </c>
      <c r="BL53" s="58">
        <v>14.85</v>
      </c>
      <c r="BM53" s="58">
        <v>15.33</v>
      </c>
      <c r="BN53" s="58">
        <v>14.75</v>
      </c>
      <c r="BO53" s="101"/>
      <c r="BP53" s="100">
        <v>21.26</v>
      </c>
      <c r="BQ53" s="101">
        <v>10.050000000000001</v>
      </c>
      <c r="BR53" s="100">
        <v>14.3</v>
      </c>
      <c r="BS53" s="101">
        <v>17.690000000000001</v>
      </c>
      <c r="BT53" s="100">
        <v>18.690000000000001</v>
      </c>
      <c r="BU53" s="101">
        <v>16.87</v>
      </c>
      <c r="BV53" s="100">
        <v>21.62</v>
      </c>
      <c r="BW53" s="101">
        <v>14.15</v>
      </c>
      <c r="BX53" s="100">
        <v>23.24</v>
      </c>
      <c r="BY53" s="101">
        <v>14.99</v>
      </c>
      <c r="BZ53" s="100">
        <v>26.05</v>
      </c>
      <c r="CA53" s="101">
        <v>18.510000000000002</v>
      </c>
      <c r="CB53" s="66">
        <v>27.89</v>
      </c>
      <c r="CC53" s="67">
        <v>18.39</v>
      </c>
      <c r="CD53" s="66">
        <v>29.32</v>
      </c>
      <c r="CE53" s="67">
        <v>16.670000000000002</v>
      </c>
      <c r="CF53" s="66">
        <v>28.51</v>
      </c>
      <c r="CG53" s="101">
        <v>20.2</v>
      </c>
      <c r="CH53" s="100">
        <v>32.049999999999997</v>
      </c>
      <c r="CI53" s="101">
        <v>21.33</v>
      </c>
      <c r="CJ53" s="100">
        <v>39.549999999999997</v>
      </c>
      <c r="CK53" s="101">
        <v>14.7</v>
      </c>
      <c r="CL53" s="66">
        <v>37.71</v>
      </c>
      <c r="CM53" s="67">
        <v>19.649999999999999</v>
      </c>
      <c r="CN53" s="100">
        <v>16.13</v>
      </c>
      <c r="CO53" s="101">
        <v>50.42</v>
      </c>
      <c r="CP53" s="100">
        <v>36.64</v>
      </c>
      <c r="CQ53" s="101">
        <v>26.77</v>
      </c>
      <c r="CR53" s="100">
        <v>48.82</v>
      </c>
      <c r="CS53" s="101">
        <v>17.21</v>
      </c>
      <c r="CT53" s="100">
        <v>57.2</v>
      </c>
      <c r="CU53" s="101">
        <v>14.69</v>
      </c>
      <c r="CV53" s="67"/>
      <c r="CW53" s="101">
        <v>213.73174499999999</v>
      </c>
      <c r="CX53" s="101">
        <v>252.96700100000001</v>
      </c>
      <c r="CY53" s="101">
        <v>252.96700100000001</v>
      </c>
      <c r="CZ53" s="298">
        <v>306.02999999999997</v>
      </c>
      <c r="DA53" s="299">
        <v>348.35</v>
      </c>
      <c r="DB53" s="298">
        <v>482.23</v>
      </c>
      <c r="DC53" s="298">
        <v>513.05999999999995</v>
      </c>
      <c r="DD53" s="298">
        <v>488.83</v>
      </c>
      <c r="DE53" s="298">
        <v>575.83000000000004</v>
      </c>
      <c r="DF53" s="298">
        <v>683.83</v>
      </c>
      <c r="DG53" s="298">
        <v>581.53</v>
      </c>
      <c r="DH53" s="298">
        <v>741</v>
      </c>
      <c r="DI53" s="298">
        <v>813.28</v>
      </c>
      <c r="DJ53" s="298">
        <v>980.62</v>
      </c>
      <c r="DK53" s="112" t="s">
        <v>165</v>
      </c>
    </row>
    <row r="54" spans="1:115" s="102" customFormat="1" x14ac:dyDescent="0.4">
      <c r="A54" s="64" t="s">
        <v>166</v>
      </c>
      <c r="B54" s="80">
        <v>2343.7800000000002</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25.72</v>
      </c>
      <c r="BH54" s="58">
        <v>25.48</v>
      </c>
      <c r="BI54" s="58">
        <v>27.85</v>
      </c>
      <c r="BJ54" s="58">
        <v>33.119999999999997</v>
      </c>
      <c r="BK54" s="58">
        <v>29.63</v>
      </c>
      <c r="BL54" s="58">
        <v>29.62</v>
      </c>
      <c r="BM54" s="58">
        <v>31.51</v>
      </c>
      <c r="BN54" s="58">
        <v>36.68</v>
      </c>
      <c r="BO54" s="101"/>
      <c r="BP54" s="100">
        <v>15.95</v>
      </c>
      <c r="BQ54" s="101">
        <v>14.95</v>
      </c>
      <c r="BR54" s="100">
        <v>17.09</v>
      </c>
      <c r="BS54" s="101">
        <v>22.24</v>
      </c>
      <c r="BT54" s="100">
        <v>26.54</v>
      </c>
      <c r="BU54" s="101">
        <v>15.92</v>
      </c>
      <c r="BV54" s="100">
        <v>31.32</v>
      </c>
      <c r="BW54" s="101">
        <v>13.51</v>
      </c>
      <c r="BX54" s="100">
        <v>32.18</v>
      </c>
      <c r="BY54" s="101">
        <v>14.88</v>
      </c>
      <c r="BZ54" s="100">
        <v>33.21</v>
      </c>
      <c r="CA54" s="101">
        <v>18.309999999999999</v>
      </c>
      <c r="CB54" s="66">
        <v>36.43</v>
      </c>
      <c r="CC54" s="67">
        <v>19.559999999999999</v>
      </c>
      <c r="CD54" s="66">
        <v>37.64</v>
      </c>
      <c r="CE54" s="67">
        <v>19.7</v>
      </c>
      <c r="CF54" s="66">
        <v>38.159999999999997</v>
      </c>
      <c r="CG54" s="101">
        <v>21.95</v>
      </c>
      <c r="CH54" s="100">
        <v>50.85</v>
      </c>
      <c r="CI54" s="101">
        <v>22.32</v>
      </c>
      <c r="CJ54" s="100">
        <v>63.94</v>
      </c>
      <c r="CK54" s="101">
        <v>17.39</v>
      </c>
      <c r="CL54" s="66">
        <v>62.66</v>
      </c>
      <c r="CM54" s="67">
        <v>26.2</v>
      </c>
      <c r="CN54" s="100">
        <v>67.47</v>
      </c>
      <c r="CO54" s="101">
        <v>34.450000000000003</v>
      </c>
      <c r="CP54" s="100">
        <v>94.19</v>
      </c>
      <c r="CQ54" s="101">
        <v>32.729999999999997</v>
      </c>
      <c r="CR54" s="100">
        <v>112.17</v>
      </c>
      <c r="CS54" s="101">
        <v>20.89</v>
      </c>
      <c r="CT54" s="100">
        <v>127.45</v>
      </c>
      <c r="CU54" s="101">
        <v>18.39</v>
      </c>
      <c r="CV54" s="67"/>
      <c r="CW54" s="101">
        <v>238.53137599999999</v>
      </c>
      <c r="CX54" s="101">
        <v>380.15106400000002</v>
      </c>
      <c r="CY54" s="101">
        <v>380.15106400000002</v>
      </c>
      <c r="CZ54" s="298">
        <v>423.04</v>
      </c>
      <c r="DA54" s="299">
        <v>478.87</v>
      </c>
      <c r="DB54" s="298">
        <v>608</v>
      </c>
      <c r="DC54" s="298">
        <v>712.45</v>
      </c>
      <c r="DD54" s="298">
        <v>741.27</v>
      </c>
      <c r="DE54" s="298">
        <v>837.68</v>
      </c>
      <c r="DF54" s="298">
        <v>1134.95</v>
      </c>
      <c r="DG54" s="298">
        <v>1112.03</v>
      </c>
      <c r="DH54" s="298">
        <v>1641.41</v>
      </c>
      <c r="DI54" s="298">
        <v>2324.4699999999998</v>
      </c>
      <c r="DJ54" s="298">
        <v>3082.94</v>
      </c>
      <c r="DK54" s="112" t="s">
        <v>166</v>
      </c>
    </row>
    <row r="55" spans="1:115" s="102" customFormat="1" x14ac:dyDescent="0.4">
      <c r="A55" s="64" t="s">
        <v>167</v>
      </c>
      <c r="B55" s="80">
        <v>543.54999999999995</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13.07</v>
      </c>
      <c r="BI55" s="58">
        <v>11.96</v>
      </c>
      <c r="BJ55" s="58">
        <v>10.84</v>
      </c>
      <c r="BK55" s="58">
        <v>10.18</v>
      </c>
      <c r="BL55" s="58">
        <v>11.27</v>
      </c>
      <c r="BM55" s="58">
        <v>10.32</v>
      </c>
      <c r="BN55" s="58">
        <v>9.92</v>
      </c>
      <c r="BO55" s="101"/>
      <c r="BP55" s="100">
        <v>9.33</v>
      </c>
      <c r="BQ55" s="101">
        <v>14.93</v>
      </c>
      <c r="BR55" s="100">
        <v>7.67</v>
      </c>
      <c r="BS55" s="101">
        <v>26.59</v>
      </c>
      <c r="BT55" s="100">
        <v>13.65</v>
      </c>
      <c r="BU55" s="101">
        <v>18.02</v>
      </c>
      <c r="BV55" s="100">
        <v>16.36</v>
      </c>
      <c r="BW55" s="101">
        <v>13.52</v>
      </c>
      <c r="BX55" s="100">
        <v>15.09</v>
      </c>
      <c r="BY55" s="101">
        <v>16.71</v>
      </c>
      <c r="BZ55" s="100">
        <v>14.92</v>
      </c>
      <c r="CA55" s="101">
        <v>20.84</v>
      </c>
      <c r="CB55" s="66">
        <v>13.96</v>
      </c>
      <c r="CC55" s="67">
        <v>23.23</v>
      </c>
      <c r="CD55" s="66">
        <v>9.73</v>
      </c>
      <c r="CE55" s="67">
        <v>29.37</v>
      </c>
      <c r="CF55" s="66">
        <v>14.13</v>
      </c>
      <c r="CG55" s="101">
        <v>24.09</v>
      </c>
      <c r="CH55" s="100">
        <v>19.05</v>
      </c>
      <c r="CI55" s="101">
        <v>21.5</v>
      </c>
      <c r="CJ55" s="100">
        <v>24.1</v>
      </c>
      <c r="CK55" s="101">
        <v>14.01</v>
      </c>
      <c r="CL55" s="66">
        <v>18.809999999999999</v>
      </c>
      <c r="CM55" s="67">
        <v>21.78</v>
      </c>
      <c r="CN55" s="100">
        <v>16.7</v>
      </c>
      <c r="CO55" s="101">
        <v>28.7</v>
      </c>
      <c r="CP55" s="100">
        <v>37.68</v>
      </c>
      <c r="CQ55" s="101">
        <v>15.94</v>
      </c>
      <c r="CR55" s="100">
        <v>47.37</v>
      </c>
      <c r="CS55" s="101">
        <v>11.47</v>
      </c>
      <c r="CT55" s="100">
        <v>41.69</v>
      </c>
      <c r="CU55" s="101">
        <v>13.04</v>
      </c>
      <c r="CV55" s="67"/>
      <c r="CW55" s="101">
        <v>139.32307499999999</v>
      </c>
      <c r="CX55" s="101">
        <v>203.96750700000001</v>
      </c>
      <c r="CY55" s="101">
        <v>203.96750700000001</v>
      </c>
      <c r="CZ55" s="298">
        <v>221.24</v>
      </c>
      <c r="DA55" s="299">
        <v>252.11</v>
      </c>
      <c r="DB55" s="298">
        <v>310.94</v>
      </c>
      <c r="DC55" s="298">
        <v>324.39</v>
      </c>
      <c r="DD55" s="298">
        <v>285.8</v>
      </c>
      <c r="DE55" s="298">
        <v>340.34</v>
      </c>
      <c r="DF55" s="298">
        <v>409.64</v>
      </c>
      <c r="DG55" s="298">
        <v>337.8</v>
      </c>
      <c r="DH55" s="298">
        <v>409.54</v>
      </c>
      <c r="DI55" s="298">
        <v>479.26</v>
      </c>
      <c r="DJ55" s="298">
        <v>600.55999999999995</v>
      </c>
      <c r="DK55" s="112" t="s">
        <v>167</v>
      </c>
    </row>
    <row r="56" spans="1:115" s="102" customFormat="1" x14ac:dyDescent="0.4">
      <c r="A56" s="64" t="s">
        <v>387</v>
      </c>
      <c r="B56" s="80">
        <v>192.51</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2.87</v>
      </c>
      <c r="BI56" s="58">
        <v>3.01</v>
      </c>
      <c r="BJ56" s="58">
        <v>3.34</v>
      </c>
      <c r="BK56" s="58">
        <v>3.17</v>
      </c>
      <c r="BL56" s="58">
        <v>3.28</v>
      </c>
      <c r="BM56" s="58">
        <v>3.41</v>
      </c>
      <c r="BN56" s="58">
        <v>3.75</v>
      </c>
      <c r="BO56" s="101"/>
      <c r="BP56" s="100">
        <v>8.26</v>
      </c>
      <c r="BQ56" s="101">
        <v>13.49</v>
      </c>
      <c r="BR56" s="100">
        <v>7.17</v>
      </c>
      <c r="BS56" s="101">
        <v>15.93</v>
      </c>
      <c r="BT56" s="100">
        <v>7.35</v>
      </c>
      <c r="BU56" s="101">
        <v>17.440000000000001</v>
      </c>
      <c r="BV56" s="100">
        <v>6.8</v>
      </c>
      <c r="BW56" s="101">
        <v>18.97</v>
      </c>
      <c r="BX56" s="100">
        <v>3.38</v>
      </c>
      <c r="BY56" s="101">
        <v>42.89</v>
      </c>
      <c r="BZ56" s="100">
        <v>11.96</v>
      </c>
      <c r="CA56" s="101">
        <v>12.94</v>
      </c>
      <c r="CB56" s="66">
        <v>7.06</v>
      </c>
      <c r="CC56" s="67">
        <v>21.58</v>
      </c>
      <c r="CD56" s="66">
        <v>12.04</v>
      </c>
      <c r="CE56" s="67">
        <v>12.43</v>
      </c>
      <c r="CF56" s="66">
        <v>9.7100000000000009</v>
      </c>
      <c r="CG56" s="101">
        <v>18.14</v>
      </c>
      <c r="CH56" s="100">
        <v>9.82</v>
      </c>
      <c r="CI56" s="101">
        <v>16.809999999999999</v>
      </c>
      <c r="CJ56" s="100">
        <v>11.53</v>
      </c>
      <c r="CK56" s="101">
        <v>12.02</v>
      </c>
      <c r="CL56" s="66">
        <v>8.16</v>
      </c>
      <c r="CM56" s="67">
        <v>22.16</v>
      </c>
      <c r="CN56" s="100">
        <v>7.13</v>
      </c>
      <c r="CO56" s="101">
        <v>30.91</v>
      </c>
      <c r="CP56" s="100">
        <v>12.26</v>
      </c>
      <c r="CQ56" s="101">
        <v>21.63</v>
      </c>
      <c r="CR56" s="100">
        <v>11.98</v>
      </c>
      <c r="CS56" s="101">
        <v>16.07</v>
      </c>
      <c r="CT56" s="100">
        <v>13.61</v>
      </c>
      <c r="CU56" s="101">
        <v>14.14</v>
      </c>
      <c r="CV56" s="67"/>
      <c r="CW56" s="101">
        <v>111.414979</v>
      </c>
      <c r="CX56" s="101">
        <v>114.226088</v>
      </c>
      <c r="CY56" s="101">
        <v>114.226088</v>
      </c>
      <c r="CZ56" s="298">
        <v>128.91</v>
      </c>
      <c r="DA56" s="299">
        <v>144.97999999999999</v>
      </c>
      <c r="DB56" s="298">
        <v>154.66999999999999</v>
      </c>
      <c r="DC56" s="298">
        <v>152.32</v>
      </c>
      <c r="DD56" s="298">
        <v>149.56</v>
      </c>
      <c r="DE56" s="298">
        <v>176.17</v>
      </c>
      <c r="DF56" s="298">
        <v>165.04</v>
      </c>
      <c r="DG56" s="298">
        <v>138.68</v>
      </c>
      <c r="DH56" s="298">
        <v>180.87</v>
      </c>
      <c r="DI56" s="298">
        <v>220.54</v>
      </c>
      <c r="DJ56" s="298">
        <v>265.27999999999997</v>
      </c>
      <c r="DK56" s="112" t="s">
        <v>387</v>
      </c>
    </row>
    <row r="57" spans="1:115" s="102" customFormat="1" x14ac:dyDescent="0.4">
      <c r="A57" s="64" t="s">
        <v>168</v>
      </c>
      <c r="B57" s="80">
        <v>409.94</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5.76</v>
      </c>
      <c r="BH57" s="58">
        <v>4.16</v>
      </c>
      <c r="BI57" s="58">
        <v>5.98</v>
      </c>
      <c r="BJ57" s="58">
        <v>4.2</v>
      </c>
      <c r="BK57" s="58">
        <v>5.74</v>
      </c>
      <c r="BL57" s="58">
        <v>4.42</v>
      </c>
      <c r="BM57" s="58">
        <v>6.4</v>
      </c>
      <c r="BN57" s="58">
        <v>4.76</v>
      </c>
      <c r="BO57" s="101"/>
      <c r="BP57" s="100">
        <v>13.01</v>
      </c>
      <c r="BQ57" s="101">
        <v>12.46</v>
      </c>
      <c r="BR57" s="100">
        <v>12.42</v>
      </c>
      <c r="BS57" s="101">
        <v>14.05</v>
      </c>
      <c r="BT57" s="100">
        <v>13.49</v>
      </c>
      <c r="BU57" s="101">
        <v>13.26</v>
      </c>
      <c r="BV57" s="100">
        <v>13.62</v>
      </c>
      <c r="BW57" s="101">
        <v>15.05</v>
      </c>
      <c r="BX57" s="100">
        <v>13.35</v>
      </c>
      <c r="BY57" s="101">
        <v>14.99</v>
      </c>
      <c r="BZ57" s="100">
        <v>13.68</v>
      </c>
      <c r="CA57" s="101">
        <v>16.18</v>
      </c>
      <c r="CB57" s="66">
        <v>14.9</v>
      </c>
      <c r="CC57" s="67">
        <v>18.260000000000002</v>
      </c>
      <c r="CD57" s="66">
        <v>12.86</v>
      </c>
      <c r="CE57" s="67">
        <v>19.47</v>
      </c>
      <c r="CF57" s="66">
        <v>15.47</v>
      </c>
      <c r="CG57" s="101">
        <v>18.399999999999999</v>
      </c>
      <c r="CH57" s="100">
        <v>16.47</v>
      </c>
      <c r="CI57" s="101">
        <v>18.75</v>
      </c>
      <c r="CJ57" s="100">
        <v>17.399999999999999</v>
      </c>
      <c r="CK57" s="101">
        <v>17.91</v>
      </c>
      <c r="CL57" s="66">
        <v>17.79</v>
      </c>
      <c r="CM57" s="67">
        <v>21.23</v>
      </c>
      <c r="CN57" s="100">
        <v>17.93</v>
      </c>
      <c r="CO57" s="101">
        <v>20.18</v>
      </c>
      <c r="CP57" s="100">
        <v>17.899999999999999</v>
      </c>
      <c r="CQ57" s="101">
        <v>23.09</v>
      </c>
      <c r="CR57" s="100">
        <v>20.100000000000001</v>
      </c>
      <c r="CS57" s="101">
        <v>20.39</v>
      </c>
      <c r="CT57" s="100">
        <v>21.32</v>
      </c>
      <c r="CU57" s="101">
        <v>19.23</v>
      </c>
      <c r="CV57" s="67"/>
      <c r="CW57" s="101">
        <v>162.06434999999999</v>
      </c>
      <c r="CX57" s="101">
        <v>174.496937</v>
      </c>
      <c r="CY57" s="101">
        <v>174.496937</v>
      </c>
      <c r="CZ57" s="298">
        <v>204.99</v>
      </c>
      <c r="DA57" s="299">
        <v>200.04</v>
      </c>
      <c r="DB57" s="298">
        <v>221.38</v>
      </c>
      <c r="DC57" s="298">
        <v>272.12</v>
      </c>
      <c r="DD57" s="298">
        <v>250.42</v>
      </c>
      <c r="DE57" s="298">
        <v>284.70999999999998</v>
      </c>
      <c r="DF57" s="298">
        <v>308.86</v>
      </c>
      <c r="DG57" s="298">
        <v>311.5</v>
      </c>
      <c r="DH57" s="298">
        <v>377.57</v>
      </c>
      <c r="DI57" s="298">
        <v>361.82</v>
      </c>
      <c r="DJ57" s="298">
        <v>413.43</v>
      </c>
      <c r="DK57" s="112" t="s">
        <v>168</v>
      </c>
    </row>
    <row r="58" spans="1:115" s="102" customFormat="1" x14ac:dyDescent="0.4">
      <c r="A58" s="64" t="s">
        <v>313</v>
      </c>
      <c r="B58" s="80">
        <v>239.08</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1.63</v>
      </c>
      <c r="BI58" s="58">
        <v>1.71</v>
      </c>
      <c r="BJ58" s="58">
        <v>1.71</v>
      </c>
      <c r="BK58" s="58">
        <v>1.61</v>
      </c>
      <c r="BL58" s="58">
        <v>1.91</v>
      </c>
      <c r="BM58" s="58">
        <v>1.82</v>
      </c>
      <c r="BN58" s="58">
        <v>1.95</v>
      </c>
      <c r="BO58" s="101"/>
      <c r="BP58" s="100"/>
      <c r="BQ58" s="101"/>
      <c r="BR58" s="100"/>
      <c r="BS58" s="101"/>
      <c r="BT58" s="100"/>
      <c r="BU58" s="101"/>
      <c r="BV58" s="100"/>
      <c r="BW58" s="101"/>
      <c r="BX58" s="100"/>
      <c r="BY58" s="101"/>
      <c r="BZ58" s="100">
        <v>3.41</v>
      </c>
      <c r="CA58" s="101">
        <v>43.01</v>
      </c>
      <c r="CB58" s="66">
        <v>5.29</v>
      </c>
      <c r="CC58" s="67">
        <v>34.69</v>
      </c>
      <c r="CD58" s="66">
        <v>5.43</v>
      </c>
      <c r="CE58" s="67">
        <v>33.83</v>
      </c>
      <c r="CF58" s="66">
        <v>7.17</v>
      </c>
      <c r="CG58" s="101">
        <v>26.47</v>
      </c>
      <c r="CH58" s="100">
        <v>5.69</v>
      </c>
      <c r="CI58" s="101">
        <v>35.119999999999997</v>
      </c>
      <c r="CJ58" s="100">
        <v>6.52</v>
      </c>
      <c r="CK58" s="101">
        <v>28.51</v>
      </c>
      <c r="CL58" s="66">
        <v>6.85</v>
      </c>
      <c r="CM58" s="67">
        <v>33.54</v>
      </c>
      <c r="CN58" s="100">
        <v>4.33</v>
      </c>
      <c r="CO58" s="101">
        <v>49.06</v>
      </c>
      <c r="CP58" s="100">
        <v>7.47</v>
      </c>
      <c r="CQ58" s="101">
        <v>39.619999999999997</v>
      </c>
      <c r="CR58" s="100">
        <v>7.08</v>
      </c>
      <c r="CS58" s="101">
        <v>33.76</v>
      </c>
      <c r="CT58" s="100">
        <v>7.29</v>
      </c>
      <c r="CU58" s="101">
        <v>32.81</v>
      </c>
      <c r="CV58" s="67"/>
      <c r="CW58" s="101"/>
      <c r="CX58" s="101"/>
      <c r="CY58" s="101"/>
      <c r="CZ58" s="298"/>
      <c r="DA58" s="299"/>
      <c r="DB58" s="298"/>
      <c r="DC58" s="298"/>
      <c r="DD58" s="298"/>
      <c r="DE58" s="298">
        <v>189.91</v>
      </c>
      <c r="DF58" s="298">
        <v>199.89</v>
      </c>
      <c r="DG58" s="298">
        <v>185.8</v>
      </c>
      <c r="DH58" s="298">
        <v>229.67</v>
      </c>
      <c r="DI58" s="298">
        <v>212.56</v>
      </c>
      <c r="DJ58" s="298">
        <v>296.05</v>
      </c>
      <c r="DK58" s="112" t="s">
        <v>508</v>
      </c>
    </row>
    <row r="59" spans="1:115" x14ac:dyDescent="0.4">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67"/>
      <c r="BQ59" s="67"/>
      <c r="BS59" s="67"/>
      <c r="BU59" s="67"/>
      <c r="BW59" s="67"/>
      <c r="BY59" s="67"/>
      <c r="CA59" s="67"/>
      <c r="CC59" s="67"/>
      <c r="CE59" s="67"/>
      <c r="CG59" s="67"/>
      <c r="CH59" s="66"/>
      <c r="CI59" s="67"/>
      <c r="CJ59" s="66"/>
      <c r="CK59" s="67"/>
      <c r="CL59" s="66"/>
      <c r="CM59" s="67"/>
      <c r="CN59" s="66"/>
      <c r="CO59" s="67"/>
      <c r="CP59" s="66"/>
      <c r="CQ59" s="67"/>
      <c r="CR59" s="66"/>
      <c r="CS59" s="67"/>
      <c r="CT59" s="66"/>
      <c r="CU59" s="67"/>
      <c r="CV59" s="67"/>
      <c r="DB59" s="298"/>
      <c r="DC59" s="298"/>
      <c r="DD59" s="298"/>
      <c r="DE59" s="298"/>
      <c r="DF59" s="298"/>
      <c r="DG59" s="298"/>
      <c r="DH59" s="298"/>
      <c r="DI59" s="298"/>
    </row>
    <row r="60" spans="1:115" x14ac:dyDescent="0.4">
      <c r="B60" s="80"/>
      <c r="CH60" s="66"/>
      <c r="CJ60" s="66"/>
      <c r="CK60" s="67"/>
      <c r="CL60" s="66"/>
      <c r="CN60" s="66"/>
      <c r="CP60" s="66"/>
      <c r="CR60" s="66"/>
      <c r="CT60" s="66"/>
      <c r="CV60" s="67"/>
      <c r="DB60" s="298"/>
      <c r="DC60" s="298"/>
      <c r="DD60" s="298"/>
      <c r="DE60" s="298"/>
      <c r="DF60" s="298"/>
      <c r="DG60" s="298"/>
      <c r="DH60" s="298"/>
      <c r="DI60" s="298"/>
    </row>
    <row r="61" spans="1:115" x14ac:dyDescent="0.4">
      <c r="A61" s="64" t="s">
        <v>93</v>
      </c>
      <c r="B61" s="80"/>
      <c r="CH61" s="66"/>
      <c r="CJ61" s="66"/>
      <c r="CK61" s="67"/>
      <c r="CL61" s="66"/>
      <c r="CN61" s="66"/>
      <c r="CP61" s="66"/>
      <c r="CR61" s="66"/>
      <c r="CT61" s="66"/>
      <c r="CV61" s="67"/>
      <c r="DB61" s="298"/>
      <c r="DC61" s="298"/>
      <c r="DD61" s="298"/>
      <c r="DE61" s="298"/>
      <c r="DF61" s="298"/>
      <c r="DG61" s="298"/>
      <c r="DH61" s="298"/>
      <c r="DI61" s="298"/>
      <c r="DK61" s="112" t="s">
        <v>93</v>
      </c>
    </row>
    <row r="62" spans="1:115" s="64" customFormat="1" x14ac:dyDescent="0.4">
      <c r="A62" s="64" t="s">
        <v>33</v>
      </c>
      <c r="B62" s="293" t="s">
        <v>139</v>
      </c>
      <c r="C62" s="69" t="str">
        <f>C6</f>
        <v>2008 Q1</v>
      </c>
      <c r="D62" s="69" t="str">
        <f t="shared" ref="D62:CA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2022E Q1</v>
      </c>
      <c r="BH62" s="69" t="str">
        <f t="shared" si="2"/>
        <v>2022E Q2</v>
      </c>
      <c r="BI62" s="69" t="str">
        <f t="shared" si="2"/>
        <v>2022E Q3</v>
      </c>
      <c r="BJ62" s="69" t="str">
        <f t="shared" si="2"/>
        <v>2022E Q4</v>
      </c>
      <c r="BK62" s="69" t="str">
        <f t="shared" ref="BK62:BN62" si="3">BK6</f>
        <v>2023E Q1</v>
      </c>
      <c r="BL62" s="69" t="str">
        <f t="shared" si="3"/>
        <v>2023E Q2</v>
      </c>
      <c r="BM62" s="69" t="str">
        <f t="shared" si="3"/>
        <v>2023E Q3</v>
      </c>
      <c r="BN62" s="69" t="str">
        <f t="shared" si="3"/>
        <v>2023E Q4</v>
      </c>
      <c r="BO62" s="69"/>
      <c r="BP62" s="69" t="str">
        <f t="shared" si="0"/>
        <v>2008 EPS</v>
      </c>
      <c r="BQ62" s="69" t="str">
        <f t="shared" si="0"/>
        <v>2008 P/E</v>
      </c>
      <c r="BR62" s="69" t="str">
        <f t="shared" si="0"/>
        <v>2009 EPS</v>
      </c>
      <c r="BS62" s="69" t="str">
        <f t="shared" si="0"/>
        <v>2009 P/E</v>
      </c>
      <c r="BT62" s="69" t="str">
        <f t="shared" si="0"/>
        <v>2010 EPS</v>
      </c>
      <c r="BU62" s="69" t="str">
        <f t="shared" si="0"/>
        <v>2010 P/E</v>
      </c>
      <c r="BV62" s="69" t="str">
        <f t="shared" si="0"/>
        <v>2011 EPS</v>
      </c>
      <c r="BW62" s="69" t="str">
        <f t="shared" si="0"/>
        <v>2011 P/E</v>
      </c>
      <c r="BX62" s="69" t="str">
        <f t="shared" si="0"/>
        <v>2012 EPS</v>
      </c>
      <c r="BY62" s="69" t="str">
        <f t="shared" si="0"/>
        <v>2012 P/E</v>
      </c>
      <c r="BZ62" s="69" t="str">
        <f t="shared" si="0"/>
        <v>2013 EPS</v>
      </c>
      <c r="CA62" s="69" t="str">
        <f t="shared" si="0"/>
        <v>2013 P/E</v>
      </c>
      <c r="CB62" s="69" t="str">
        <f t="shared" ref="CB62:DJ62" si="4">CB6</f>
        <v>2014 EPS</v>
      </c>
      <c r="CC62" s="69" t="str">
        <f t="shared" si="4"/>
        <v>2014 P/E</v>
      </c>
      <c r="CD62" s="69" t="str">
        <f t="shared" si="4"/>
        <v>2015 EPS</v>
      </c>
      <c r="CE62" s="69" t="str">
        <f t="shared" si="4"/>
        <v>2015 P/E</v>
      </c>
      <c r="CF62" s="69" t="str">
        <f t="shared" si="4"/>
        <v>2016 EPS</v>
      </c>
      <c r="CG62" s="69" t="str">
        <f t="shared" si="4"/>
        <v>2016 P/E</v>
      </c>
      <c r="CH62" s="69" t="str">
        <f t="shared" si="4"/>
        <v>2017 EPS</v>
      </c>
      <c r="CI62" s="69" t="str">
        <f t="shared" si="4"/>
        <v>2017 P/E</v>
      </c>
      <c r="CJ62" s="69" t="str">
        <f t="shared" si="4"/>
        <v>2018  EPS</v>
      </c>
      <c r="CK62" s="69" t="str">
        <f t="shared" si="4"/>
        <v>2018  P/E</v>
      </c>
      <c r="CL62" s="69" t="str">
        <f t="shared" si="4"/>
        <v>2019 EPS</v>
      </c>
      <c r="CM62" s="69" t="str">
        <f t="shared" si="4"/>
        <v>2019  P/E</v>
      </c>
      <c r="CN62" s="69" t="str">
        <f t="shared" si="4"/>
        <v>2020 EPS</v>
      </c>
      <c r="CO62" s="69" t="str">
        <f t="shared" si="4"/>
        <v>2020 P/E</v>
      </c>
      <c r="CP62" s="69" t="str">
        <f t="shared" ref="CP62:CR62" si="5">CP6</f>
        <v>2021 EPS</v>
      </c>
      <c r="CQ62" s="69" t="str">
        <f>CQ6</f>
        <v>2021E P/E</v>
      </c>
      <c r="CR62" s="69" t="str">
        <f t="shared" si="5"/>
        <v>2022E EPS</v>
      </c>
      <c r="CS62" s="69" t="str">
        <f>CS6</f>
        <v>2022E P/E</v>
      </c>
      <c r="CT62" s="69" t="str">
        <f t="shared" ref="CT62" si="6">CT6</f>
        <v>2023E EPS</v>
      </c>
      <c r="CU62" s="69" t="str">
        <f>CU6</f>
        <v>2023E P/E</v>
      </c>
      <c r="CV62" s="69"/>
      <c r="CW62" s="69" t="str">
        <f t="shared" si="4"/>
        <v>PRICE 12/08</v>
      </c>
      <c r="CX62" s="69" t="str">
        <f t="shared" si="4"/>
        <v>PRICE 12/09</v>
      </c>
      <c r="CY62" s="69" t="str">
        <f t="shared" si="4"/>
        <v>PRICE 12/10</v>
      </c>
      <c r="CZ62" s="69" t="str">
        <f t="shared" si="4"/>
        <v>PRICE 12/11</v>
      </c>
      <c r="DA62" s="69" t="str">
        <f t="shared" si="4"/>
        <v>PRICE 12/12</v>
      </c>
      <c r="DB62" s="69" t="str">
        <f t="shared" si="4"/>
        <v>PRICE 12/13</v>
      </c>
      <c r="DC62" s="69" t="str">
        <f t="shared" si="4"/>
        <v>PRICE 12/14</v>
      </c>
      <c r="DD62" s="69" t="str">
        <f t="shared" si="4"/>
        <v>PRICE 12/15</v>
      </c>
      <c r="DE62" s="69" t="str">
        <f t="shared" si="4"/>
        <v>PRICE 12/16</v>
      </c>
      <c r="DF62" s="69" t="str">
        <f t="shared" si="4"/>
        <v>PRICE 12/17</v>
      </c>
      <c r="DG62" s="69" t="str">
        <f t="shared" si="4"/>
        <v>PRICE 12/18</v>
      </c>
      <c r="DH62" s="69" t="str">
        <f t="shared" si="4"/>
        <v>PRICE 12/19</v>
      </c>
      <c r="DI62" s="69" t="str">
        <f t="shared" si="4"/>
        <v>PRICE 12/20</v>
      </c>
      <c r="DJ62" s="69" t="str">
        <f t="shared" si="4"/>
        <v>PRICE 12/21</v>
      </c>
      <c r="DK62" s="112" t="s">
        <v>33</v>
      </c>
    </row>
    <row r="63" spans="1:115" x14ac:dyDescent="0.4">
      <c r="A63" s="64" t="s">
        <v>24</v>
      </c>
      <c r="B63" s="80">
        <v>3935.18</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46.52</v>
      </c>
      <c r="BH63" s="66"/>
      <c r="BI63" s="66"/>
      <c r="BJ63" s="66"/>
      <c r="BK63" s="66"/>
      <c r="BL63" s="66"/>
      <c r="BM63" s="66"/>
      <c r="BN63" s="66"/>
      <c r="BO63" s="67"/>
      <c r="BP63" s="66">
        <v>14.88</v>
      </c>
      <c r="BQ63" s="67">
        <v>60.7</v>
      </c>
      <c r="BR63" s="66">
        <v>50.97</v>
      </c>
      <c r="BS63" s="67">
        <v>21.88</v>
      </c>
      <c r="BT63" s="66">
        <v>77.349999999999994</v>
      </c>
      <c r="BU63" s="67">
        <v>16.260000000000002</v>
      </c>
      <c r="BV63" s="66">
        <v>86.95</v>
      </c>
      <c r="BW63" s="67">
        <v>14.46</v>
      </c>
      <c r="BX63" s="66">
        <v>86.51</v>
      </c>
      <c r="BY63" s="67">
        <v>16.489999999999998</v>
      </c>
      <c r="BZ63" s="66">
        <v>100.2</v>
      </c>
      <c r="CA63" s="67">
        <v>18.45</v>
      </c>
      <c r="CB63" s="66">
        <v>102.31</v>
      </c>
      <c r="CC63" s="67">
        <v>20.12</v>
      </c>
      <c r="CD63" s="66">
        <v>86.52</v>
      </c>
      <c r="CE63" s="67">
        <v>23.62</v>
      </c>
      <c r="CF63" s="66">
        <v>94.55</v>
      </c>
      <c r="CG63" s="67">
        <v>23.68</v>
      </c>
      <c r="CH63" s="66">
        <v>109.88</v>
      </c>
      <c r="CI63" s="67">
        <v>24.33</v>
      </c>
      <c r="CJ63" s="66">
        <v>132.38999999999999</v>
      </c>
      <c r="CK63" s="67">
        <v>18.940000000000001</v>
      </c>
      <c r="CL63" s="66">
        <v>139.47</v>
      </c>
      <c r="CM63" s="67">
        <v>23.17</v>
      </c>
      <c r="CN63" s="66">
        <v>94.13</v>
      </c>
      <c r="CO63" s="66">
        <v>39.9</v>
      </c>
      <c r="CP63" s="66">
        <v>197.87</v>
      </c>
      <c r="CQ63" s="67">
        <v>24.09</v>
      </c>
      <c r="CR63" s="66"/>
      <c r="CS63" s="67"/>
      <c r="CT63" s="66"/>
      <c r="CU63" s="67"/>
      <c r="CV63" s="67"/>
      <c r="CW63" s="67">
        <v>903.25492143355405</v>
      </c>
      <c r="CX63" s="67">
        <v>1115.10268063072</v>
      </c>
      <c r="CY63" s="67">
        <v>1257.6400000000001</v>
      </c>
      <c r="CZ63" s="298">
        <v>1257.5999999999999</v>
      </c>
      <c r="DA63" s="299">
        <v>1426.19</v>
      </c>
      <c r="DB63" s="298">
        <v>1848.36</v>
      </c>
      <c r="DC63" s="298">
        <v>2058.9</v>
      </c>
      <c r="DD63" s="298">
        <v>2043.94</v>
      </c>
      <c r="DE63" s="298">
        <v>2238.83</v>
      </c>
      <c r="DF63" s="298">
        <v>2673.61</v>
      </c>
      <c r="DG63" s="298">
        <v>2506.85</v>
      </c>
      <c r="DH63" s="298">
        <v>3230.78</v>
      </c>
      <c r="DI63" s="298">
        <v>3756.07</v>
      </c>
      <c r="DJ63" s="298">
        <v>4766.18</v>
      </c>
      <c r="DK63" s="112" t="s">
        <v>24</v>
      </c>
    </row>
    <row r="64" spans="1:115" x14ac:dyDescent="0.4">
      <c r="A64" s="64" t="s">
        <v>64</v>
      </c>
      <c r="B64" s="80">
        <v>1131.55</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0.66</v>
      </c>
      <c r="BH64" s="66"/>
      <c r="BI64" s="66"/>
      <c r="BJ64" s="66"/>
      <c r="BK64" s="66"/>
      <c r="BL64" s="66"/>
      <c r="BM64" s="66"/>
      <c r="BN64" s="66"/>
      <c r="BO64" s="67"/>
      <c r="BP64" s="66">
        <v>-13.71</v>
      </c>
      <c r="BQ64" s="67">
        <v>-12.36</v>
      </c>
      <c r="BR64" s="66">
        <v>10.49</v>
      </c>
      <c r="BS64" s="67">
        <v>22.41</v>
      </c>
      <c r="BT64" s="66">
        <v>16.670000000000002</v>
      </c>
      <c r="BU64" s="67">
        <v>17.73</v>
      </c>
      <c r="BV64" s="66">
        <v>22.36</v>
      </c>
      <c r="BW64" s="67">
        <v>13.8</v>
      </c>
      <c r="BX64" s="66">
        <v>21.22</v>
      </c>
      <c r="BY64" s="67">
        <v>17.72</v>
      </c>
      <c r="BZ64" s="66">
        <v>24.29</v>
      </c>
      <c r="CA64" s="67">
        <v>21.82</v>
      </c>
      <c r="CB64" s="66">
        <v>27.08</v>
      </c>
      <c r="CC64" s="67">
        <v>21.15</v>
      </c>
      <c r="CD64" s="66">
        <v>28.75</v>
      </c>
      <c r="CE64" s="67">
        <v>21.6</v>
      </c>
      <c r="CF64" s="66">
        <v>29.07</v>
      </c>
      <c r="CG64" s="67">
        <v>22.29</v>
      </c>
      <c r="CH64" s="66">
        <v>37.61</v>
      </c>
      <c r="CI64" s="67">
        <v>20.88</v>
      </c>
      <c r="CJ64" s="66">
        <v>32.880000000000003</v>
      </c>
      <c r="CK64" s="67">
        <v>23.77</v>
      </c>
      <c r="CL64" s="66">
        <v>36.85</v>
      </c>
      <c r="CM64" s="67">
        <v>26.77</v>
      </c>
      <c r="CN64" s="66">
        <v>19.36</v>
      </c>
      <c r="CO64" s="67">
        <v>67.290000000000006</v>
      </c>
      <c r="CP64" s="66">
        <v>44.96</v>
      </c>
      <c r="CQ64" s="67">
        <v>35.82</v>
      </c>
      <c r="CR64" s="66"/>
      <c r="CS64" s="67"/>
      <c r="CT64" s="66"/>
      <c r="CU64" s="67"/>
      <c r="CV64" s="67"/>
      <c r="CW64" s="67">
        <v>169.408411257941</v>
      </c>
      <c r="CX64" s="67">
        <v>235.072766173958</v>
      </c>
      <c r="CY64" s="67">
        <v>295.54000000000002</v>
      </c>
      <c r="CZ64" s="298">
        <v>308.58</v>
      </c>
      <c r="DA64" s="299">
        <v>376.06</v>
      </c>
      <c r="DB64" s="298">
        <v>530.1</v>
      </c>
      <c r="DC64" s="298">
        <v>572.75</v>
      </c>
      <c r="DD64" s="298">
        <v>621.02</v>
      </c>
      <c r="DE64" s="298">
        <v>647.82000000000005</v>
      </c>
      <c r="DF64" s="298">
        <v>785.33</v>
      </c>
      <c r="DG64" s="298">
        <v>781.5</v>
      </c>
      <c r="DH64" s="298">
        <v>986.29</v>
      </c>
      <c r="DI64" s="298">
        <v>1302.56</v>
      </c>
      <c r="DJ64" s="298">
        <v>1610.76</v>
      </c>
      <c r="DK64" s="112" t="s">
        <v>64</v>
      </c>
    </row>
    <row r="65" spans="1:115" x14ac:dyDescent="0.4">
      <c r="A65" s="64" t="s">
        <v>65</v>
      </c>
      <c r="B65" s="80">
        <v>791.23</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9.2899999999999991</v>
      </c>
      <c r="BH65" s="66"/>
      <c r="BI65" s="66"/>
      <c r="BJ65" s="66"/>
      <c r="BK65" s="66"/>
      <c r="BL65" s="66"/>
      <c r="BM65" s="66"/>
      <c r="BN65" s="66"/>
      <c r="BO65" s="67"/>
      <c r="BP65" s="66">
        <v>14.24</v>
      </c>
      <c r="BQ65" s="67">
        <v>17.32</v>
      </c>
      <c r="BR65" s="66">
        <v>16.55</v>
      </c>
      <c r="BS65" s="67">
        <v>16.57</v>
      </c>
      <c r="BT65" s="66">
        <v>19.09</v>
      </c>
      <c r="BU65" s="67">
        <v>15.9</v>
      </c>
      <c r="BV65" s="66">
        <v>19.02</v>
      </c>
      <c r="BW65" s="67">
        <v>17.64</v>
      </c>
      <c r="BX65" s="66">
        <v>20.94</v>
      </c>
      <c r="BY65" s="67">
        <v>17.23</v>
      </c>
      <c r="BZ65" s="66">
        <v>22.7</v>
      </c>
      <c r="CA65" s="67">
        <v>19.5</v>
      </c>
      <c r="CB65" s="66">
        <v>21.01</v>
      </c>
      <c r="CC65" s="67">
        <v>23.78</v>
      </c>
      <c r="CD65" s="66">
        <v>22.49</v>
      </c>
      <c r="CE65" s="67">
        <v>23.05</v>
      </c>
      <c r="CF65" s="66">
        <v>26.28</v>
      </c>
      <c r="CG65" s="67">
        <v>20.239999999999998</v>
      </c>
      <c r="CH65" s="66">
        <v>25.42</v>
      </c>
      <c r="CI65" s="67">
        <v>23.11</v>
      </c>
      <c r="CJ65" s="66">
        <v>25.75</v>
      </c>
      <c r="CK65" s="67">
        <v>20.27</v>
      </c>
      <c r="CL65" s="66">
        <v>21.98</v>
      </c>
      <c r="CM65" s="67">
        <v>29.44</v>
      </c>
      <c r="CN65" s="66">
        <v>25.94</v>
      </c>
      <c r="CO65" s="67">
        <v>26.85</v>
      </c>
      <c r="CP65" s="66">
        <v>30.02</v>
      </c>
      <c r="CQ65" s="67">
        <v>26.8</v>
      </c>
      <c r="CR65" s="66"/>
      <c r="CS65" s="67"/>
      <c r="CT65" s="66"/>
      <c r="CU65" s="67"/>
      <c r="CV65" s="67"/>
      <c r="CW65" s="67">
        <v>246.662508741848</v>
      </c>
      <c r="CX65" s="67">
        <v>274.300552266865</v>
      </c>
      <c r="CY65" s="67">
        <v>303.58</v>
      </c>
      <c r="CZ65" s="298">
        <v>335.54</v>
      </c>
      <c r="DA65" s="299">
        <v>360.78</v>
      </c>
      <c r="DB65" s="298">
        <v>442.62</v>
      </c>
      <c r="DC65" s="298">
        <v>499.58</v>
      </c>
      <c r="DD65" s="298">
        <v>518.41999999999996</v>
      </c>
      <c r="DE65" s="298">
        <v>531.79</v>
      </c>
      <c r="DF65" s="298">
        <v>587.39</v>
      </c>
      <c r="DG65" s="298">
        <v>521.88</v>
      </c>
      <c r="DH65" s="298">
        <v>646.97</v>
      </c>
      <c r="DI65" s="298">
        <v>696.32</v>
      </c>
      <c r="DJ65" s="298">
        <v>804.6</v>
      </c>
      <c r="DK65" s="112" t="s">
        <v>65</v>
      </c>
    </row>
    <row r="66" spans="1:115" x14ac:dyDescent="0.4">
      <c r="A66" s="64" t="s">
        <v>66</v>
      </c>
      <c r="B66" s="80">
        <v>591.63</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c r="BI66" s="66"/>
      <c r="BJ66" s="66"/>
      <c r="BK66" s="66"/>
      <c r="BL66" s="66"/>
      <c r="BM66" s="66"/>
      <c r="BN66" s="66"/>
      <c r="BO66" s="67"/>
      <c r="BP66" s="66">
        <v>35.15</v>
      </c>
      <c r="BQ66" s="67">
        <v>10.99</v>
      </c>
      <c r="BR66" s="66">
        <v>16.010000000000002</v>
      </c>
      <c r="BS66" s="67">
        <v>26.86</v>
      </c>
      <c r="BT66" s="66">
        <v>35.54</v>
      </c>
      <c r="BU66" s="67">
        <v>14.26</v>
      </c>
      <c r="BV66" s="66">
        <v>44.79</v>
      </c>
      <c r="BW66" s="67">
        <v>11.63</v>
      </c>
      <c r="BX66" s="66">
        <v>44.48</v>
      </c>
      <c r="BY66" s="67">
        <v>11.98</v>
      </c>
      <c r="BZ66" s="66">
        <v>41.82</v>
      </c>
      <c r="CA66" s="67">
        <v>15.58</v>
      </c>
      <c r="CB66" s="66">
        <v>35.24</v>
      </c>
      <c r="CC66" s="67">
        <v>16.649999999999999</v>
      </c>
      <c r="CD66" s="66">
        <v>-23.52</v>
      </c>
      <c r="CE66" s="67">
        <v>-19.07</v>
      </c>
      <c r="CF66" s="66">
        <v>-12.53</v>
      </c>
      <c r="CG66" s="67">
        <v>-44.24</v>
      </c>
      <c r="CH66" s="66">
        <v>17.91</v>
      </c>
      <c r="CI66" s="67">
        <v>29.78</v>
      </c>
      <c r="CJ66" s="66">
        <v>27.65</v>
      </c>
      <c r="CK66" s="67">
        <v>15.34</v>
      </c>
      <c r="CL66" s="66">
        <v>5.23</v>
      </c>
      <c r="CM66" s="67">
        <v>87.3</v>
      </c>
      <c r="CN66" s="66">
        <v>-47.69</v>
      </c>
      <c r="CO66" s="67">
        <v>-6</v>
      </c>
      <c r="CP66" s="66">
        <v>29</v>
      </c>
      <c r="CQ66" s="67">
        <v>14.58</v>
      </c>
      <c r="CR66" s="66"/>
      <c r="CS66" s="67"/>
      <c r="CT66" s="66"/>
      <c r="CU66" s="67"/>
      <c r="CV66" s="67"/>
      <c r="CW66" s="67">
        <v>386.351033763217</v>
      </c>
      <c r="CX66" s="67">
        <v>429.95155640507198</v>
      </c>
      <c r="CY66" s="67">
        <v>506.75</v>
      </c>
      <c r="CZ66" s="298">
        <v>520.80999999999995</v>
      </c>
      <c r="DA66" s="299">
        <v>532.96</v>
      </c>
      <c r="DB66" s="298">
        <v>651.66999999999996</v>
      </c>
      <c r="DC66" s="298">
        <v>586.59</v>
      </c>
      <c r="DD66" s="298">
        <v>448.44</v>
      </c>
      <c r="DE66" s="298">
        <v>554.5</v>
      </c>
      <c r="DF66" s="298">
        <v>533.41</v>
      </c>
      <c r="DG66" s="298">
        <v>424.07</v>
      </c>
      <c r="DH66" s="298">
        <v>456.46</v>
      </c>
      <c r="DI66" s="298">
        <v>286.14</v>
      </c>
      <c r="DJ66" s="298">
        <v>422.74</v>
      </c>
      <c r="DK66" s="112" t="s">
        <v>66</v>
      </c>
    </row>
    <row r="67" spans="1:115" x14ac:dyDescent="0.4">
      <c r="A67" s="64" t="s">
        <v>67</v>
      </c>
      <c r="B67" s="80">
        <v>552.71</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c r="BI67" s="66"/>
      <c r="BJ67" s="66"/>
      <c r="BK67" s="66"/>
      <c r="BL67" s="66"/>
      <c r="BM67" s="66"/>
      <c r="BN67" s="66"/>
      <c r="BO67" s="67"/>
      <c r="BP67" s="66">
        <v>-37.96</v>
      </c>
      <c r="BQ67" s="67">
        <v>-4.45</v>
      </c>
      <c r="BR67" s="66">
        <v>2.61</v>
      </c>
      <c r="BS67" s="67">
        <v>74.239999999999995</v>
      </c>
      <c r="BT67" s="66">
        <v>12.77</v>
      </c>
      <c r="BU67" s="67">
        <v>16.82</v>
      </c>
      <c r="BV67" s="66">
        <v>14.08</v>
      </c>
      <c r="BW67" s="67">
        <v>12.45</v>
      </c>
      <c r="BX67" s="66">
        <v>15.56</v>
      </c>
      <c r="BY67" s="67">
        <v>14.22</v>
      </c>
      <c r="BZ67" s="66">
        <v>18.93</v>
      </c>
      <c r="CA67" s="67">
        <v>15.57</v>
      </c>
      <c r="CB67" s="66">
        <v>19.09</v>
      </c>
      <c r="CC67" s="67">
        <v>17.46</v>
      </c>
      <c r="CD67" s="66">
        <v>21.91</v>
      </c>
      <c r="CE67" s="67">
        <v>14.68</v>
      </c>
      <c r="CF67" s="66">
        <v>23.01</v>
      </c>
      <c r="CG67" s="67">
        <v>16.8</v>
      </c>
      <c r="CH67" s="66">
        <v>25.1</v>
      </c>
      <c r="CI67" s="67">
        <v>18.489999999999998</v>
      </c>
      <c r="CJ67" s="66">
        <v>30.78</v>
      </c>
      <c r="CK67" s="67">
        <v>12.86</v>
      </c>
      <c r="CL67" s="66">
        <v>42.75</v>
      </c>
      <c r="CM67" s="67">
        <v>11.96</v>
      </c>
      <c r="CN67" s="66">
        <v>29.2</v>
      </c>
      <c r="CO67" s="67">
        <v>16.8</v>
      </c>
      <c r="CP67" s="66">
        <v>58.68</v>
      </c>
      <c r="CQ67" s="67">
        <v>11.08</v>
      </c>
      <c r="CR67" s="66"/>
      <c r="CS67" s="67"/>
      <c r="CT67" s="66"/>
      <c r="CU67" s="67"/>
      <c r="CV67" s="67"/>
      <c r="CW67" s="67">
        <v>168.79165229151201</v>
      </c>
      <c r="CX67" s="67">
        <v>193.77928611669799</v>
      </c>
      <c r="CY67" s="67">
        <v>214.77</v>
      </c>
      <c r="CZ67" s="298">
        <v>175.23</v>
      </c>
      <c r="DA67" s="299">
        <v>221.24</v>
      </c>
      <c r="DB67" s="298">
        <v>294.70999999999998</v>
      </c>
      <c r="DC67" s="298">
        <v>333.32</v>
      </c>
      <c r="DD67" s="298">
        <v>321.73</v>
      </c>
      <c r="DE67" s="298">
        <v>386.53</v>
      </c>
      <c r="DF67" s="298">
        <v>463.94</v>
      </c>
      <c r="DG67" s="298">
        <v>395.9</v>
      </c>
      <c r="DH67" s="298">
        <v>511.39</v>
      </c>
      <c r="DI67" s="298">
        <v>490.43</v>
      </c>
      <c r="DJ67" s="298">
        <v>650.04</v>
      </c>
      <c r="DK67" s="112" t="s">
        <v>67</v>
      </c>
    </row>
    <row r="68" spans="1:115" x14ac:dyDescent="0.4">
      <c r="A68" s="64" t="s">
        <v>68</v>
      </c>
      <c r="B68" s="80">
        <v>1468.22</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17.36</v>
      </c>
      <c r="BH68" s="66"/>
      <c r="BI68" s="66"/>
      <c r="BJ68" s="66"/>
      <c r="BK68" s="66"/>
      <c r="BL68" s="66"/>
      <c r="BM68" s="66"/>
      <c r="BN68" s="66"/>
      <c r="BO68" s="67"/>
      <c r="BP68" s="66">
        <v>19.09</v>
      </c>
      <c r="BQ68" s="67">
        <v>16.21</v>
      </c>
      <c r="BR68" s="66">
        <v>25.61</v>
      </c>
      <c r="BS68" s="67">
        <v>14.14</v>
      </c>
      <c r="BT68" s="66">
        <v>22.46</v>
      </c>
      <c r="BU68" s="67">
        <v>16.239999999999998</v>
      </c>
      <c r="BV68" s="66">
        <v>25.31</v>
      </c>
      <c r="BW68" s="67">
        <v>15.88</v>
      </c>
      <c r="BX68" s="66">
        <v>25.09</v>
      </c>
      <c r="BY68" s="67">
        <v>18.45</v>
      </c>
      <c r="BZ68" s="66">
        <v>27.43</v>
      </c>
      <c r="CA68" s="67">
        <v>23.41</v>
      </c>
      <c r="CB68" s="66">
        <v>31.64</v>
      </c>
      <c r="CC68" s="67">
        <v>25.03</v>
      </c>
      <c r="CD68" s="66">
        <v>31.28</v>
      </c>
      <c r="CE68" s="67">
        <v>26.64</v>
      </c>
      <c r="CF68" s="66">
        <v>34.799999999999997</v>
      </c>
      <c r="CG68" s="67">
        <v>22.9</v>
      </c>
      <c r="CH68" s="66">
        <v>29.19</v>
      </c>
      <c r="CI68" s="67">
        <v>32.76</v>
      </c>
      <c r="CJ68" s="66">
        <v>37.57</v>
      </c>
      <c r="CK68" s="67">
        <v>26.65</v>
      </c>
      <c r="CL68" s="66">
        <v>46.81</v>
      </c>
      <c r="CM68" s="67">
        <v>25.38</v>
      </c>
      <c r="CN68" s="66">
        <v>40.97</v>
      </c>
      <c r="CO68" s="67">
        <v>32.32</v>
      </c>
      <c r="CP68" s="66">
        <v>67.930000000000007</v>
      </c>
      <c r="CQ68" s="67">
        <v>24.2</v>
      </c>
      <c r="CR68" s="66"/>
      <c r="CS68" s="67"/>
      <c r="CT68" s="66"/>
      <c r="CU68" s="67"/>
      <c r="CV68" s="67"/>
      <c r="CW68" s="67">
        <v>309.41269753717103</v>
      </c>
      <c r="CX68" s="67">
        <v>362.22076951876102</v>
      </c>
      <c r="CY68" s="67">
        <v>364.78</v>
      </c>
      <c r="CZ68" s="298">
        <v>401.9</v>
      </c>
      <c r="DA68" s="299">
        <v>462.95</v>
      </c>
      <c r="DB68" s="298">
        <v>642.29999999999995</v>
      </c>
      <c r="DC68" s="298">
        <v>791.97</v>
      </c>
      <c r="DD68" s="298">
        <v>833.23</v>
      </c>
      <c r="DE68" s="298">
        <v>796.91</v>
      </c>
      <c r="DF68" s="298">
        <v>956.32</v>
      </c>
      <c r="DG68" s="298">
        <v>1001.18</v>
      </c>
      <c r="DH68" s="298">
        <v>1188.2</v>
      </c>
      <c r="DI68" s="298">
        <v>1324.01</v>
      </c>
      <c r="DJ68" s="298">
        <v>1643.92</v>
      </c>
      <c r="DK68" s="112" t="s">
        <v>68</v>
      </c>
    </row>
    <row r="69" spans="1:115" x14ac:dyDescent="0.4">
      <c r="A69" s="64" t="s">
        <v>69</v>
      </c>
      <c r="B69" s="80">
        <v>775.59</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6.54</v>
      </c>
      <c r="BH69" s="66"/>
      <c r="BI69" s="66"/>
      <c r="BJ69" s="66"/>
      <c r="BK69" s="66"/>
      <c r="BL69" s="66"/>
      <c r="BM69" s="66"/>
      <c r="BN69" s="66"/>
      <c r="BO69" s="67"/>
      <c r="BP69" s="66">
        <v>17.62</v>
      </c>
      <c r="BQ69" s="67">
        <v>11.76</v>
      </c>
      <c r="BR69" s="66">
        <v>12.55</v>
      </c>
      <c r="BS69" s="67">
        <v>19.36</v>
      </c>
      <c r="BT69" s="66">
        <v>17.09</v>
      </c>
      <c r="BU69" s="67">
        <v>17.62</v>
      </c>
      <c r="BV69" s="66">
        <v>20.170000000000002</v>
      </c>
      <c r="BW69" s="67">
        <v>14.49</v>
      </c>
      <c r="BX69" s="66">
        <v>20.47</v>
      </c>
      <c r="BY69" s="67">
        <v>16.059999999999999</v>
      </c>
      <c r="BZ69" s="66">
        <v>25.39</v>
      </c>
      <c r="CA69" s="67">
        <v>17.82</v>
      </c>
      <c r="CB69" s="66">
        <v>25.36</v>
      </c>
      <c r="CC69" s="67">
        <v>19.18</v>
      </c>
      <c r="CD69" s="66">
        <v>22.84</v>
      </c>
      <c r="CE69" s="67">
        <v>20.29</v>
      </c>
      <c r="CF69" s="66">
        <v>24.96</v>
      </c>
      <c r="CG69" s="67">
        <v>21.56</v>
      </c>
      <c r="CH69" s="66">
        <v>26.19</v>
      </c>
      <c r="CI69" s="67">
        <v>24.35</v>
      </c>
      <c r="CJ69" s="66">
        <v>26.87</v>
      </c>
      <c r="CK69" s="67">
        <v>20.18</v>
      </c>
      <c r="CL69" s="66">
        <v>29.43</v>
      </c>
      <c r="CM69" s="67">
        <v>23.36</v>
      </c>
      <c r="CN69" s="66">
        <v>11.29</v>
      </c>
      <c r="CO69" s="67">
        <v>66.39</v>
      </c>
      <c r="CP69" s="66">
        <v>31.55</v>
      </c>
      <c r="CQ69" s="67">
        <v>28.37</v>
      </c>
      <c r="CR69" s="66"/>
      <c r="CS69" s="67"/>
      <c r="CT69" s="66"/>
      <c r="CU69" s="67"/>
      <c r="CV69" s="67"/>
      <c r="CW69" s="67">
        <v>207.209458244704</v>
      </c>
      <c r="CX69" s="67">
        <v>242.991959108782</v>
      </c>
      <c r="CY69" s="67">
        <v>301.12</v>
      </c>
      <c r="CZ69" s="298">
        <v>292.32</v>
      </c>
      <c r="DA69" s="299">
        <v>328.75</v>
      </c>
      <c r="DB69" s="298">
        <v>452.46</v>
      </c>
      <c r="DC69" s="298">
        <v>486.47</v>
      </c>
      <c r="DD69" s="298">
        <v>463.53</v>
      </c>
      <c r="DE69" s="298">
        <v>538.07000000000005</v>
      </c>
      <c r="DF69" s="298">
        <v>637.80999999999995</v>
      </c>
      <c r="DG69" s="298">
        <v>542.16</v>
      </c>
      <c r="DH69" s="298">
        <v>687.6</v>
      </c>
      <c r="DI69" s="298">
        <v>749.54</v>
      </c>
      <c r="DJ69" s="298">
        <v>894.96</v>
      </c>
      <c r="DK69" s="112" t="s">
        <v>69</v>
      </c>
    </row>
    <row r="70" spans="1:115" x14ac:dyDescent="0.4">
      <c r="A70" s="64" t="s">
        <v>70</v>
      </c>
      <c r="B70" s="80">
        <v>2322.64</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24.99</v>
      </c>
      <c r="BH70" s="66"/>
      <c r="BI70" s="66"/>
      <c r="BJ70" s="66"/>
      <c r="BK70" s="66"/>
      <c r="BL70" s="66"/>
      <c r="BM70" s="66"/>
      <c r="BN70" s="66"/>
      <c r="BO70" s="67"/>
      <c r="BP70" s="66">
        <v>12.82</v>
      </c>
      <c r="BQ70" s="67">
        <v>18.079999999999998</v>
      </c>
      <c r="BR70" s="66">
        <v>15.07</v>
      </c>
      <c r="BS70" s="67">
        <v>24.6</v>
      </c>
      <c r="BT70" s="66">
        <v>25.56</v>
      </c>
      <c r="BU70" s="67">
        <v>15.83</v>
      </c>
      <c r="BV70" s="66">
        <v>29.06</v>
      </c>
      <c r="BW70" s="67">
        <v>14.11</v>
      </c>
      <c r="BX70" s="66">
        <v>27.24</v>
      </c>
      <c r="BY70" s="67">
        <v>17.02</v>
      </c>
      <c r="BZ70" s="66">
        <v>32.409999999999997</v>
      </c>
      <c r="CA70" s="67">
        <v>18.07</v>
      </c>
      <c r="CB70" s="66">
        <v>36.1</v>
      </c>
      <c r="CC70" s="67">
        <v>19.170000000000002</v>
      </c>
      <c r="CD70" s="66">
        <v>33.86</v>
      </c>
      <c r="CE70" s="67">
        <v>21.31</v>
      </c>
      <c r="CF70" s="66">
        <v>36.85</v>
      </c>
      <c r="CG70" s="67">
        <v>21.93</v>
      </c>
      <c r="CH70" s="66">
        <v>33.74</v>
      </c>
      <c r="CI70" s="67">
        <v>32.78</v>
      </c>
      <c r="CJ70" s="66">
        <v>58.62</v>
      </c>
      <c r="CK70" s="67">
        <v>18.57</v>
      </c>
      <c r="CL70" s="66">
        <v>60.31</v>
      </c>
      <c r="CM70" s="67">
        <v>26.72</v>
      </c>
      <c r="CN70" s="66">
        <v>65.099999999999994</v>
      </c>
      <c r="CO70" s="67">
        <v>35.200000000000003</v>
      </c>
      <c r="CP70" s="66">
        <v>91.94</v>
      </c>
      <c r="CQ70" s="67">
        <v>33.229999999999997</v>
      </c>
      <c r="CR70" s="66"/>
      <c r="CS70" s="67"/>
      <c r="CT70" s="66"/>
      <c r="CU70" s="67"/>
      <c r="CV70" s="67"/>
      <c r="CW70" s="67">
        <v>231.80951797071199</v>
      </c>
      <c r="CX70" s="67">
        <v>370.71108667205903</v>
      </c>
      <c r="CY70" s="67">
        <v>404.55</v>
      </c>
      <c r="CZ70" s="298">
        <v>409.93</v>
      </c>
      <c r="DA70" s="299">
        <v>463.82</v>
      </c>
      <c r="DB70" s="298">
        <v>585.48</v>
      </c>
      <c r="DC70" s="298">
        <v>691.95</v>
      </c>
      <c r="DD70" s="298">
        <v>721.48</v>
      </c>
      <c r="DE70" s="298">
        <v>807.95</v>
      </c>
      <c r="DF70" s="298">
        <v>1106.18</v>
      </c>
      <c r="DG70" s="298">
        <v>1088.31</v>
      </c>
      <c r="DH70" s="298">
        <v>1611.17</v>
      </c>
      <c r="DI70" s="298">
        <v>2291.2800000000002</v>
      </c>
      <c r="DJ70" s="298">
        <v>3055.45</v>
      </c>
      <c r="DK70" s="112" t="s">
        <v>70</v>
      </c>
    </row>
    <row r="71" spans="1:115" x14ac:dyDescent="0.4">
      <c r="A71" s="64" t="s">
        <v>71</v>
      </c>
      <c r="B71" s="80">
        <v>510.94</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c r="BI71" s="66"/>
      <c r="BJ71" s="66"/>
      <c r="BK71" s="66"/>
      <c r="BL71" s="66"/>
      <c r="BM71" s="66"/>
      <c r="BN71" s="66"/>
      <c r="BO71" s="67"/>
      <c r="BP71" s="66">
        <v>0.57999999999999996</v>
      </c>
      <c r="BQ71" s="67">
        <v>237.22</v>
      </c>
      <c r="BR71" s="66">
        <v>5.88</v>
      </c>
      <c r="BS71" s="67">
        <v>33.979999999999997</v>
      </c>
      <c r="BT71" s="66">
        <v>12.75</v>
      </c>
      <c r="BU71" s="67">
        <v>18.79</v>
      </c>
      <c r="BV71" s="66">
        <v>14.55</v>
      </c>
      <c r="BW71" s="67">
        <v>14.55</v>
      </c>
      <c r="BX71" s="66">
        <v>11.18</v>
      </c>
      <c r="BY71" s="67">
        <v>21.25</v>
      </c>
      <c r="BZ71" s="66">
        <v>11.4</v>
      </c>
      <c r="CA71" s="67">
        <v>25.59</v>
      </c>
      <c r="CB71" s="66">
        <v>13.1</v>
      </c>
      <c r="CC71" s="67">
        <v>23.3</v>
      </c>
      <c r="CD71" s="66">
        <v>6.98</v>
      </c>
      <c r="CE71" s="67">
        <v>39.22</v>
      </c>
      <c r="CF71" s="66">
        <v>10.26</v>
      </c>
      <c r="CG71" s="67">
        <v>30.42</v>
      </c>
      <c r="CH71" s="66">
        <v>15.57</v>
      </c>
      <c r="CI71" s="67">
        <v>24.34</v>
      </c>
      <c r="CJ71" s="66">
        <v>19.23</v>
      </c>
      <c r="CK71" s="67">
        <v>16.46</v>
      </c>
      <c r="CL71" s="66">
        <v>11.29</v>
      </c>
      <c r="CM71" s="67">
        <v>34.18</v>
      </c>
      <c r="CN71" s="66">
        <v>11.35</v>
      </c>
      <c r="CO71" s="67">
        <v>40.15</v>
      </c>
      <c r="CP71" s="66">
        <v>27.66</v>
      </c>
      <c r="CQ71" s="67">
        <v>20.59</v>
      </c>
      <c r="CR71" s="66"/>
      <c r="CS71" s="67"/>
      <c r="CT71" s="66"/>
      <c r="CU71" s="67"/>
      <c r="CV71" s="67"/>
      <c r="CW71" s="67">
        <v>137.58654915328501</v>
      </c>
      <c r="CX71" s="67">
        <v>199.81024150392901</v>
      </c>
      <c r="CY71" s="67">
        <v>239.61</v>
      </c>
      <c r="CZ71" s="298">
        <v>211.71</v>
      </c>
      <c r="DA71" s="299">
        <v>237.62</v>
      </c>
      <c r="DB71" s="298">
        <v>291.64</v>
      </c>
      <c r="DC71" s="298">
        <v>305.27999999999997</v>
      </c>
      <c r="DD71" s="298">
        <v>273.64</v>
      </c>
      <c r="DE71" s="298">
        <v>312.16000000000003</v>
      </c>
      <c r="DF71" s="298">
        <v>378.94</v>
      </c>
      <c r="DG71" s="298">
        <v>316.62</v>
      </c>
      <c r="DH71" s="298">
        <v>385.85</v>
      </c>
      <c r="DI71" s="298">
        <v>455.71</v>
      </c>
      <c r="DJ71" s="298">
        <v>569.63</v>
      </c>
      <c r="DK71" s="112" t="s">
        <v>71</v>
      </c>
    </row>
    <row r="72" spans="1:115" x14ac:dyDescent="0.4">
      <c r="A72" s="64" t="s">
        <v>384</v>
      </c>
      <c r="B72" s="80">
        <v>193.92</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c r="BI72" s="66"/>
      <c r="BJ72" s="66"/>
      <c r="BK72" s="66"/>
      <c r="BL72" s="66"/>
      <c r="BM72" s="66"/>
      <c r="BN72" s="66"/>
      <c r="BO72" s="67"/>
      <c r="BP72" s="66">
        <v>7.01</v>
      </c>
      <c r="BQ72" s="67">
        <v>15.93</v>
      </c>
      <c r="BR72" s="66">
        <v>5.85</v>
      </c>
      <c r="BS72" s="67">
        <v>19.600000000000001</v>
      </c>
      <c r="BT72" s="66">
        <v>7.72</v>
      </c>
      <c r="BU72" s="67">
        <v>16.670000000000002</v>
      </c>
      <c r="BV72" s="66">
        <v>1.86</v>
      </c>
      <c r="BW72" s="67">
        <v>69.849999999999994</v>
      </c>
      <c r="BX72" s="66">
        <v>1.94</v>
      </c>
      <c r="BY72" s="67">
        <v>75.39</v>
      </c>
      <c r="BZ72" s="66">
        <v>11.09</v>
      </c>
      <c r="CA72" s="67">
        <v>14.03</v>
      </c>
      <c r="CB72" s="66">
        <v>6.68</v>
      </c>
      <c r="CC72" s="67">
        <v>22.85</v>
      </c>
      <c r="CD72" s="66">
        <v>12.24</v>
      </c>
      <c r="CE72" s="67">
        <v>12.25</v>
      </c>
      <c r="CF72" s="66">
        <v>9.15</v>
      </c>
      <c r="CG72" s="67">
        <v>19.309999999999999</v>
      </c>
      <c r="CH72" s="66">
        <v>21.41</v>
      </c>
      <c r="CI72" s="67">
        <v>7.76</v>
      </c>
      <c r="CJ72" s="66">
        <v>10.99</v>
      </c>
      <c r="CK72" s="67">
        <v>12.62</v>
      </c>
      <c r="CL72" s="66">
        <v>7.53</v>
      </c>
      <c r="CM72" s="67">
        <v>24.11</v>
      </c>
      <c r="CN72" s="66">
        <v>5.81</v>
      </c>
      <c r="CO72" s="67">
        <v>38.22</v>
      </c>
      <c r="CP72" s="66">
        <v>11.83</v>
      </c>
      <c r="CQ72" s="67">
        <v>22.61</v>
      </c>
      <c r="CR72" s="66"/>
      <c r="CS72" s="67"/>
      <c r="CT72" s="66"/>
      <c r="CU72" s="67"/>
      <c r="CV72" s="67"/>
      <c r="CW72" s="67">
        <v>111.699218145443</v>
      </c>
      <c r="CX72" s="67">
        <v>114.638431778259</v>
      </c>
      <c r="CY72" s="67">
        <v>128.74</v>
      </c>
      <c r="CZ72" s="298">
        <v>129.82</v>
      </c>
      <c r="DA72" s="299">
        <v>146.04</v>
      </c>
      <c r="DB72" s="298">
        <v>155.52000000000001</v>
      </c>
      <c r="DC72" s="298">
        <v>152.55000000000001</v>
      </c>
      <c r="DD72" s="298">
        <v>149.91</v>
      </c>
      <c r="DE72" s="298">
        <v>176.61</v>
      </c>
      <c r="DF72" s="298">
        <v>166.07</v>
      </c>
      <c r="DG72" s="298">
        <v>138.78</v>
      </c>
      <c r="DH72" s="298">
        <v>181.64</v>
      </c>
      <c r="DI72" s="298">
        <v>221.92</v>
      </c>
      <c r="DJ72" s="298">
        <v>267.48</v>
      </c>
      <c r="DK72" s="112" t="s">
        <v>384</v>
      </c>
    </row>
    <row r="73" spans="1:115" x14ac:dyDescent="0.4">
      <c r="A73" s="64" t="s">
        <v>72</v>
      </c>
      <c r="B73" s="80">
        <v>361.78</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4.1500000000000004</v>
      </c>
      <c r="BH73" s="66"/>
      <c r="BI73" s="66"/>
      <c r="BJ73" s="66"/>
      <c r="BK73" s="66"/>
      <c r="BL73" s="66"/>
      <c r="BM73" s="66"/>
      <c r="BN73" s="66"/>
      <c r="BO73" s="67"/>
      <c r="BP73" s="66">
        <v>11.61</v>
      </c>
      <c r="BQ73" s="67">
        <v>12.74</v>
      </c>
      <c r="BR73" s="66">
        <v>12.36</v>
      </c>
      <c r="BS73" s="67">
        <v>12.78</v>
      </c>
      <c r="BT73" s="66">
        <v>11.04</v>
      </c>
      <c r="BU73" s="67">
        <v>14.43</v>
      </c>
      <c r="BV73" s="66">
        <v>11.15</v>
      </c>
      <c r="BW73" s="67">
        <v>16.41</v>
      </c>
      <c r="BX73" s="66">
        <v>9.1199999999999992</v>
      </c>
      <c r="BY73" s="67">
        <v>19.47</v>
      </c>
      <c r="BZ73" s="66">
        <v>9.76</v>
      </c>
      <c r="CA73" s="67">
        <v>19.8</v>
      </c>
      <c r="CB73" s="66">
        <v>11.5</v>
      </c>
      <c r="CC73" s="67">
        <v>20.89</v>
      </c>
      <c r="CD73" s="66">
        <v>8.9700000000000006</v>
      </c>
      <c r="CE73" s="67">
        <v>24.53</v>
      </c>
      <c r="CF73" s="66">
        <v>8.19</v>
      </c>
      <c r="CG73" s="67">
        <v>30.15</v>
      </c>
      <c r="CH73" s="66">
        <v>12.02</v>
      </c>
      <c r="CI73" s="67">
        <v>22.25</v>
      </c>
      <c r="CJ73" s="66">
        <v>10.74</v>
      </c>
      <c r="CK73" s="67">
        <v>25</v>
      </c>
      <c r="CL73" s="66">
        <v>15.8</v>
      </c>
      <c r="CM73" s="67">
        <v>20.78</v>
      </c>
      <c r="CN73" s="66">
        <v>11.06</v>
      </c>
      <c r="CO73" s="67">
        <v>28.85</v>
      </c>
      <c r="CP73" s="66">
        <v>12.79</v>
      </c>
      <c r="CQ73" s="67">
        <v>28.44</v>
      </c>
      <c r="CR73" s="66"/>
      <c r="CS73" s="67"/>
      <c r="CT73" s="66"/>
      <c r="CU73" s="67"/>
      <c r="CV73" s="67"/>
      <c r="CW73" s="67">
        <v>147.93465290177599</v>
      </c>
      <c r="CX73" s="67">
        <v>157.98969503421301</v>
      </c>
      <c r="CY73" s="67">
        <v>159.34</v>
      </c>
      <c r="CZ73" s="298">
        <v>182.98</v>
      </c>
      <c r="DA73" s="299">
        <v>177.66</v>
      </c>
      <c r="DB73" s="298">
        <v>193.21</v>
      </c>
      <c r="DC73" s="298">
        <v>240.14</v>
      </c>
      <c r="DD73" s="298">
        <v>220</v>
      </c>
      <c r="DE73" s="298">
        <v>246.83</v>
      </c>
      <c r="DF73" s="298">
        <v>267.37</v>
      </c>
      <c r="DG73" s="298">
        <v>268.61</v>
      </c>
      <c r="DH73" s="298">
        <v>328.36</v>
      </c>
      <c r="DI73" s="298">
        <v>319.07</v>
      </c>
      <c r="DJ73" s="298">
        <v>363.71</v>
      </c>
      <c r="DK73" s="112" t="s">
        <v>72</v>
      </c>
    </row>
    <row r="74" spans="1:115" x14ac:dyDescent="0.4">
      <c r="A74" s="64" t="s">
        <v>310</v>
      </c>
      <c r="B74" s="80">
        <v>260.89</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c r="BI74" s="66"/>
      <c r="BJ74" s="66"/>
      <c r="BK74" s="66"/>
      <c r="BL74" s="66"/>
      <c r="BM74" s="66"/>
      <c r="BN74" s="66"/>
      <c r="BO74" s="67"/>
      <c r="BP74" s="66">
        <v>0.81</v>
      </c>
      <c r="BQ74" s="67">
        <v>96.26</v>
      </c>
      <c r="BR74" s="66">
        <v>0.83</v>
      </c>
      <c r="BS74" s="67">
        <v>113.47</v>
      </c>
      <c r="BT74" s="66">
        <v>0.77</v>
      </c>
      <c r="BU74" s="67">
        <v>155.99</v>
      </c>
      <c r="BV74" s="66">
        <v>2.37</v>
      </c>
      <c r="BW74" s="67">
        <v>55.01</v>
      </c>
      <c r="BX74" s="66">
        <v>3.07</v>
      </c>
      <c r="BY74" s="67">
        <v>49.29</v>
      </c>
      <c r="BZ74" s="66">
        <v>3.17</v>
      </c>
      <c r="CA74" s="67">
        <v>47.03</v>
      </c>
      <c r="CB74" s="66">
        <v>5.22</v>
      </c>
      <c r="CC74" s="67">
        <v>35.97</v>
      </c>
      <c r="CD74" s="66">
        <v>5.0199999999999996</v>
      </c>
      <c r="CE74" s="67">
        <v>37.89</v>
      </c>
      <c r="CF74" s="66">
        <v>7.15</v>
      </c>
      <c r="CG74" s="67">
        <v>26.59</v>
      </c>
      <c r="CH74" s="66">
        <v>5.22</v>
      </c>
      <c r="CI74" s="67">
        <v>39.04</v>
      </c>
      <c r="CJ74" s="66">
        <v>6.16</v>
      </c>
      <c r="CK74" s="67">
        <v>31.21</v>
      </c>
      <c r="CL74" s="66">
        <v>6.71</v>
      </c>
      <c r="CM74" s="67">
        <v>35.799999999999997</v>
      </c>
      <c r="CN74" s="66">
        <v>4.82</v>
      </c>
      <c r="CO74" s="67">
        <v>47.28</v>
      </c>
      <c r="CP74" s="66">
        <v>7.65</v>
      </c>
      <c r="CQ74" s="67">
        <v>42.44</v>
      </c>
      <c r="CR74" s="66"/>
      <c r="CS74" s="67"/>
      <c r="CT74" s="66"/>
      <c r="CU74" s="67"/>
      <c r="CV74" s="67"/>
      <c r="CW74" s="67">
        <v>77.97</v>
      </c>
      <c r="CX74" s="67">
        <v>94.18</v>
      </c>
      <c r="CY74" s="67">
        <v>120.58</v>
      </c>
      <c r="CZ74" s="298">
        <v>130.15</v>
      </c>
      <c r="DA74" s="299">
        <v>151.26</v>
      </c>
      <c r="DB74" s="298">
        <v>148.94999999999999</v>
      </c>
      <c r="DC74" s="298">
        <v>187.89</v>
      </c>
      <c r="DD74" s="298">
        <v>190.22</v>
      </c>
      <c r="DE74" s="298">
        <v>190.23</v>
      </c>
      <c r="DF74" s="298">
        <v>203.86</v>
      </c>
      <c r="DG74" s="298">
        <v>192.36</v>
      </c>
      <c r="DH74" s="298">
        <v>240.32</v>
      </c>
      <c r="DI74" s="298">
        <v>227.9</v>
      </c>
      <c r="DJ74" s="298">
        <v>324.75</v>
      </c>
      <c r="DK74" s="112" t="s">
        <v>310</v>
      </c>
    </row>
    <row r="75" spans="1:115" x14ac:dyDescent="0.4">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7"/>
      <c r="BQ75" s="67"/>
      <c r="BS75" s="67"/>
      <c r="BU75" s="67"/>
      <c r="BW75" s="67"/>
      <c r="BY75" s="67"/>
      <c r="CA75" s="67"/>
      <c r="CC75" s="67"/>
      <c r="CE75" s="67"/>
      <c r="CG75" s="67"/>
      <c r="CH75" s="66"/>
      <c r="CI75" s="67"/>
      <c r="CJ75" s="66"/>
      <c r="CK75" s="67"/>
      <c r="CL75" s="66"/>
      <c r="CM75" s="67"/>
      <c r="CN75" s="66"/>
      <c r="CO75" s="67"/>
      <c r="CP75" s="66"/>
      <c r="CQ75" s="67"/>
      <c r="CR75" s="66"/>
      <c r="CS75" s="67"/>
      <c r="CT75" s="66"/>
      <c r="CU75" s="67"/>
      <c r="CV75" s="67"/>
      <c r="DB75" s="298"/>
      <c r="DC75" s="298"/>
      <c r="DD75" s="298"/>
      <c r="DE75" s="298"/>
      <c r="DF75" s="298"/>
      <c r="DG75" s="298"/>
      <c r="DH75" s="298"/>
      <c r="DI75" s="298"/>
    </row>
    <row r="76" spans="1:115" x14ac:dyDescent="0.4">
      <c r="A76" s="64" t="s">
        <v>73</v>
      </c>
      <c r="B76" s="80">
        <v>2348.0100000000002</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38.43</v>
      </c>
      <c r="BH76" s="66"/>
      <c r="BI76" s="66"/>
      <c r="BJ76" s="66"/>
      <c r="BK76" s="66"/>
      <c r="BL76" s="66"/>
      <c r="BM76" s="66"/>
      <c r="BN76" s="66"/>
      <c r="BO76" s="67"/>
      <c r="BP76" s="66">
        <v>4.67</v>
      </c>
      <c r="BQ76" s="67">
        <v>115.26</v>
      </c>
      <c r="BR76" s="66">
        <v>20.54</v>
      </c>
      <c r="BS76" s="67">
        <v>35.380000000000003</v>
      </c>
      <c r="BT76" s="66">
        <v>39.14</v>
      </c>
      <c r="BU76" s="67">
        <v>23.18</v>
      </c>
      <c r="BV76" s="66">
        <v>42.44</v>
      </c>
      <c r="BW76" s="67">
        <v>20.72</v>
      </c>
      <c r="BX76" s="66">
        <v>45.69</v>
      </c>
      <c r="BY76" s="67">
        <v>22.33</v>
      </c>
      <c r="BZ76" s="66">
        <v>52.84</v>
      </c>
      <c r="CA76" s="67">
        <v>25.41</v>
      </c>
      <c r="CB76" s="66">
        <v>47.38</v>
      </c>
      <c r="CC76" s="67">
        <v>30.66</v>
      </c>
      <c r="CD76" s="66">
        <v>31.79</v>
      </c>
      <c r="CE76" s="67">
        <v>44</v>
      </c>
      <c r="CF76" s="66">
        <v>51</v>
      </c>
      <c r="CG76" s="67">
        <v>32.56</v>
      </c>
      <c r="CH76" s="66">
        <v>73.92</v>
      </c>
      <c r="CI76" s="67">
        <v>25.71</v>
      </c>
      <c r="CJ76" s="66">
        <v>71.48</v>
      </c>
      <c r="CK76" s="67">
        <v>23.27</v>
      </c>
      <c r="CL76" s="66">
        <v>72.27</v>
      </c>
      <c r="CM76" s="67">
        <v>28.54</v>
      </c>
      <c r="CN76" s="66">
        <v>41.55</v>
      </c>
      <c r="CO76" s="67">
        <v>55.51</v>
      </c>
      <c r="CP76" s="66">
        <v>138.77000000000001</v>
      </c>
      <c r="CQ76" s="67">
        <v>20.48</v>
      </c>
      <c r="CR76" s="66"/>
      <c r="CS76" s="67"/>
      <c r="CT76" s="66"/>
      <c r="CU76" s="67"/>
      <c r="CV76" s="67"/>
      <c r="CW76" s="304">
        <v>538.27930100000003</v>
      </c>
      <c r="CX76" s="304">
        <v>726.67478400000005</v>
      </c>
      <c r="CY76" s="304">
        <v>907.24987321098399</v>
      </c>
      <c r="CZ76" s="298">
        <v>879.16</v>
      </c>
      <c r="DA76" s="299">
        <v>1020.43</v>
      </c>
      <c r="DB76" s="298">
        <v>1342.53</v>
      </c>
      <c r="DC76" s="298">
        <v>1452.44</v>
      </c>
      <c r="DD76" s="298">
        <v>1398.58</v>
      </c>
      <c r="DE76" s="298">
        <v>1660.58</v>
      </c>
      <c r="DF76" s="298">
        <v>1900.57</v>
      </c>
      <c r="DG76" s="298">
        <v>1663.04</v>
      </c>
      <c r="DH76" s="298">
        <v>2063.02</v>
      </c>
      <c r="DI76" s="298">
        <v>2306.62</v>
      </c>
      <c r="DJ76" s="298">
        <v>2842</v>
      </c>
      <c r="DK76" s="112" t="s">
        <v>73</v>
      </c>
    </row>
    <row r="77" spans="1:115" x14ac:dyDescent="0.4">
      <c r="A77" s="64" t="s">
        <v>74</v>
      </c>
      <c r="B77" s="80">
        <v>981.43</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c r="BH77" s="66"/>
      <c r="BI77" s="66"/>
      <c r="BJ77" s="66"/>
      <c r="BK77" s="66"/>
      <c r="BL77" s="66"/>
      <c r="BM77" s="66"/>
      <c r="BN77" s="66"/>
      <c r="BO77" s="67"/>
      <c r="BP77" s="66">
        <v>-6.33</v>
      </c>
      <c r="BQ77" s="67">
        <v>-28.38</v>
      </c>
      <c r="BR77" s="66">
        <v>10.96</v>
      </c>
      <c r="BS77" s="67">
        <v>25.13</v>
      </c>
      <c r="BT77" s="66">
        <v>15.77</v>
      </c>
      <c r="BU77" s="67">
        <v>22.88</v>
      </c>
      <c r="BV77" s="66">
        <v>17.47</v>
      </c>
      <c r="BW77" s="67">
        <v>20.91</v>
      </c>
      <c r="BX77" s="66">
        <v>22.08</v>
      </c>
      <c r="BY77" s="67">
        <v>20.100000000000001</v>
      </c>
      <c r="BZ77" s="66">
        <v>25.9</v>
      </c>
      <c r="CA77" s="67">
        <v>24.12</v>
      </c>
      <c r="CB77" s="66">
        <v>27.36</v>
      </c>
      <c r="CC77" s="67">
        <v>25.12</v>
      </c>
      <c r="CD77" s="66">
        <v>18.72</v>
      </c>
      <c r="CE77" s="67">
        <v>33.340000000000003</v>
      </c>
      <c r="CF77" s="66">
        <v>35.659999999999997</v>
      </c>
      <c r="CG77" s="67">
        <v>18.93</v>
      </c>
      <c r="CH77" s="66">
        <v>39.42</v>
      </c>
      <c r="CI77" s="67">
        <v>20.190000000000001</v>
      </c>
      <c r="CJ77" s="66">
        <v>37.479999999999997</v>
      </c>
      <c r="CK77" s="67">
        <v>17.170000000000002</v>
      </c>
      <c r="CL77" s="66">
        <v>24.3</v>
      </c>
      <c r="CM77" s="67">
        <v>33.04</v>
      </c>
      <c r="CN77" s="66">
        <v>16.260000000000002</v>
      </c>
      <c r="CO77" s="67">
        <v>64.11</v>
      </c>
      <c r="CP77" s="66">
        <v>93.63</v>
      </c>
      <c r="CQ77" s="67">
        <v>14.11</v>
      </c>
      <c r="CR77" s="66"/>
      <c r="CS77" s="67"/>
      <c r="CT77" s="66"/>
      <c r="CU77" s="67"/>
      <c r="CV77" s="67"/>
      <c r="CW77" s="304">
        <v>179.63314700000001</v>
      </c>
      <c r="CX77" s="304">
        <v>275.42848900000001</v>
      </c>
      <c r="CY77" s="304">
        <v>360.78854314944198</v>
      </c>
      <c r="CZ77" s="298">
        <v>365.27</v>
      </c>
      <c r="DA77" s="299">
        <v>443.95</v>
      </c>
      <c r="DB77" s="298">
        <v>624.88</v>
      </c>
      <c r="DC77" s="298">
        <v>687.24</v>
      </c>
      <c r="DD77" s="298">
        <v>624.30999999999995</v>
      </c>
      <c r="DE77" s="298">
        <v>675.16</v>
      </c>
      <c r="DF77" s="298">
        <v>795.66</v>
      </c>
      <c r="DG77" s="298">
        <v>643.38</v>
      </c>
      <c r="DH77" s="298">
        <v>802.99</v>
      </c>
      <c r="DI77" s="298">
        <v>1042.5999999999999</v>
      </c>
      <c r="DJ77" s="298">
        <v>1321.37</v>
      </c>
      <c r="DK77" s="112" t="s">
        <v>74</v>
      </c>
    </row>
    <row r="78" spans="1:115" x14ac:dyDescent="0.4">
      <c r="A78" s="64" t="s">
        <v>75</v>
      </c>
      <c r="B78" s="80">
        <v>2081.19</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c r="BH78" s="66"/>
      <c r="BI78" s="66"/>
      <c r="BJ78" s="66"/>
      <c r="BK78" s="66"/>
      <c r="BL78" s="66"/>
      <c r="BM78" s="66"/>
      <c r="BN78" s="66"/>
      <c r="BO78" s="67"/>
      <c r="BP78" s="66">
        <v>26.43</v>
      </c>
      <c r="BQ78" s="67">
        <v>15.8</v>
      </c>
      <c r="BR78" s="66">
        <v>26.87</v>
      </c>
      <c r="BS78" s="67">
        <v>18.45</v>
      </c>
      <c r="BT78" s="66">
        <v>37.08</v>
      </c>
      <c r="BU78" s="67">
        <v>16.71</v>
      </c>
      <c r="BV78" s="66">
        <v>34.99</v>
      </c>
      <c r="BW78" s="67">
        <v>21.49</v>
      </c>
      <c r="BX78" s="66">
        <v>45.42</v>
      </c>
      <c r="BY78" s="67">
        <v>18.989999999999998</v>
      </c>
      <c r="BZ78" s="66">
        <v>53.6</v>
      </c>
      <c r="CA78" s="67">
        <v>22.05</v>
      </c>
      <c r="CB78" s="66">
        <v>41.14</v>
      </c>
      <c r="CC78" s="67">
        <v>38.35</v>
      </c>
      <c r="CD78" s="66">
        <v>20.41</v>
      </c>
      <c r="CE78" s="67">
        <v>73.790000000000006</v>
      </c>
      <c r="CF78" s="66">
        <v>49.07</v>
      </c>
      <c r="CG78" s="67">
        <v>34.450000000000003</v>
      </c>
      <c r="CH78" s="66">
        <v>59.65</v>
      </c>
      <c r="CI78" s="67">
        <v>28.95</v>
      </c>
      <c r="CJ78" s="66">
        <v>61.31</v>
      </c>
      <c r="CK78" s="67">
        <v>25.84</v>
      </c>
      <c r="CL78" s="66">
        <v>33.69</v>
      </c>
      <c r="CM78" s="67">
        <v>51.49</v>
      </c>
      <c r="CN78" s="66">
        <v>73.31</v>
      </c>
      <c r="CO78" s="67">
        <v>28.63</v>
      </c>
      <c r="CP78" s="66">
        <v>87.86</v>
      </c>
      <c r="CQ78" s="67">
        <v>26.08</v>
      </c>
      <c r="CR78" s="66"/>
      <c r="CS78" s="67"/>
      <c r="CT78" s="66"/>
      <c r="CU78" s="67"/>
      <c r="CV78" s="67"/>
      <c r="CW78" s="304">
        <v>417.55613299999999</v>
      </c>
      <c r="CX78" s="304">
        <v>495.715306</v>
      </c>
      <c r="CY78" s="304">
        <v>619.58758692758499</v>
      </c>
      <c r="CZ78" s="298">
        <v>751.72</v>
      </c>
      <c r="DA78" s="299">
        <v>862.71</v>
      </c>
      <c r="DB78" s="298">
        <v>1181.9000000000001</v>
      </c>
      <c r="DC78" s="298">
        <v>1577.72</v>
      </c>
      <c r="DD78" s="298">
        <v>1505.92</v>
      </c>
      <c r="DE78" s="298">
        <v>1690.47</v>
      </c>
      <c r="DF78" s="298">
        <v>1726.91</v>
      </c>
      <c r="DG78" s="298">
        <v>1584.38</v>
      </c>
      <c r="DH78" s="298">
        <v>1734.59</v>
      </c>
      <c r="DI78" s="298">
        <v>2098.52</v>
      </c>
      <c r="DJ78" s="298">
        <v>2291.71</v>
      </c>
      <c r="DK78" s="112" t="s">
        <v>75</v>
      </c>
    </row>
    <row r="79" spans="1:115" x14ac:dyDescent="0.4">
      <c r="A79" s="64" t="s">
        <v>76</v>
      </c>
      <c r="B79" s="80">
        <v>306.43</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c r="BI79" s="66"/>
      <c r="BJ79" s="66"/>
      <c r="BK79" s="66"/>
      <c r="BL79" s="66"/>
      <c r="BM79" s="66"/>
      <c r="BN79" s="66"/>
      <c r="BO79" s="67"/>
      <c r="BP79" s="66">
        <v>-2.27</v>
      </c>
      <c r="BQ79" s="67">
        <v>-159.31</v>
      </c>
      <c r="BR79" s="66">
        <v>-8.2899999999999991</v>
      </c>
      <c r="BS79" s="67">
        <v>-72.959999999999994</v>
      </c>
      <c r="BT79" s="66">
        <v>32.619999999999997</v>
      </c>
      <c r="BU79" s="67">
        <v>24.13</v>
      </c>
      <c r="BV79" s="66">
        <v>40.450000000000003</v>
      </c>
      <c r="BW79" s="67">
        <v>17.43</v>
      </c>
      <c r="BX79" s="66">
        <v>11.88</v>
      </c>
      <c r="BY79" s="67">
        <v>58.54</v>
      </c>
      <c r="BZ79" s="66">
        <v>23.01</v>
      </c>
      <c r="CA79" s="67">
        <v>38.11</v>
      </c>
      <c r="CB79" s="66">
        <v>17.13</v>
      </c>
      <c r="CC79" s="67">
        <v>37.74</v>
      </c>
      <c r="CD79" s="66">
        <v>-139.16</v>
      </c>
      <c r="CE79" s="67">
        <v>-3.06</v>
      </c>
      <c r="CF79" s="66">
        <v>-58.56</v>
      </c>
      <c r="CG79" s="67">
        <v>-8.67</v>
      </c>
      <c r="CH79" s="66">
        <v>-1.25</v>
      </c>
      <c r="CI79" s="67">
        <v>-338.84</v>
      </c>
      <c r="CJ79" s="66">
        <v>-28.49</v>
      </c>
      <c r="CK79" s="67">
        <v>-10.38</v>
      </c>
      <c r="CL79" s="66">
        <v>-13.37</v>
      </c>
      <c r="CM79" s="67">
        <v>-18.96</v>
      </c>
      <c r="CN79" s="66">
        <v>-43.55</v>
      </c>
      <c r="CO79" s="67">
        <v>-3.46</v>
      </c>
      <c r="CP79" s="66">
        <v>-10.32</v>
      </c>
      <c r="CQ79" s="67">
        <v>-23.78</v>
      </c>
      <c r="CR79" s="66"/>
      <c r="CS79" s="67"/>
      <c r="CT79" s="66"/>
      <c r="CU79" s="67"/>
      <c r="CV79" s="67"/>
      <c r="CW79" s="304">
        <v>361.64458400000001</v>
      </c>
      <c r="CX79" s="304">
        <v>604.81454900000006</v>
      </c>
      <c r="CY79" s="304">
        <v>786.99419431210197</v>
      </c>
      <c r="CZ79" s="298">
        <v>705.18</v>
      </c>
      <c r="DA79" s="299">
        <v>695.36</v>
      </c>
      <c r="DB79" s="298">
        <v>877.03</v>
      </c>
      <c r="DC79" s="298">
        <v>646.46</v>
      </c>
      <c r="DD79" s="298">
        <v>426.16</v>
      </c>
      <c r="DE79" s="298">
        <v>507.43</v>
      </c>
      <c r="DF79" s="298">
        <v>422.18</v>
      </c>
      <c r="DG79" s="298">
        <v>295.61</v>
      </c>
      <c r="DH79" s="298">
        <v>253.5</v>
      </c>
      <c r="DI79" s="298">
        <v>150.81</v>
      </c>
      <c r="DJ79" s="298">
        <v>245.43</v>
      </c>
      <c r="DK79" s="112" t="s">
        <v>76</v>
      </c>
    </row>
    <row r="80" spans="1:115" x14ac:dyDescent="0.4">
      <c r="A80" s="64" t="s">
        <v>77</v>
      </c>
      <c r="B80" s="80">
        <v>1135.3699999999999</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c r="BI80" s="66"/>
      <c r="BJ80" s="66"/>
      <c r="BK80" s="66"/>
      <c r="BL80" s="66"/>
      <c r="BM80" s="66"/>
      <c r="BN80" s="66"/>
      <c r="BO80" s="67"/>
      <c r="BP80" s="66">
        <v>-0.99</v>
      </c>
      <c r="BQ80" s="67">
        <v>-394.99</v>
      </c>
      <c r="BR80" s="66">
        <v>14.14</v>
      </c>
      <c r="BS80" s="67">
        <v>29.89</v>
      </c>
      <c r="BT80" s="66">
        <v>18.55</v>
      </c>
      <c r="BU80" s="67">
        <v>26.4</v>
      </c>
      <c r="BV80" s="66">
        <v>19.28</v>
      </c>
      <c r="BW80" s="67">
        <v>23.37</v>
      </c>
      <c r="BX80" s="66">
        <v>26.11</v>
      </c>
      <c r="BY80" s="67">
        <v>19.690000000000001</v>
      </c>
      <c r="BZ80" s="66">
        <v>29.85</v>
      </c>
      <c r="CA80" s="67">
        <v>20.92</v>
      </c>
      <c r="CB80" s="66">
        <v>34.86</v>
      </c>
      <c r="CC80" s="67">
        <v>20.04</v>
      </c>
      <c r="CD80" s="66">
        <v>33.35</v>
      </c>
      <c r="CE80" s="67">
        <v>21.41</v>
      </c>
      <c r="CF80" s="66">
        <v>43.23</v>
      </c>
      <c r="CG80" s="67">
        <v>20.89</v>
      </c>
      <c r="CH80" s="66">
        <v>54.19</v>
      </c>
      <c r="CI80" s="67">
        <v>18.649999999999999</v>
      </c>
      <c r="CJ80" s="66">
        <v>59.89</v>
      </c>
      <c r="CK80" s="67">
        <v>13.9</v>
      </c>
      <c r="CL80" s="66">
        <v>79.75</v>
      </c>
      <c r="CM80" s="67">
        <v>12.89</v>
      </c>
      <c r="CN80" s="66">
        <v>51.12</v>
      </c>
      <c r="CO80" s="67">
        <v>19.239999999999998</v>
      </c>
      <c r="CP80" s="66">
        <v>107.48</v>
      </c>
      <c r="CQ80" s="67">
        <v>11.93</v>
      </c>
      <c r="CR80" s="66"/>
      <c r="CS80" s="67"/>
      <c r="CT80" s="66"/>
      <c r="CU80" s="67"/>
      <c r="CV80" s="67"/>
      <c r="CW80" s="304">
        <v>391.04396000000003</v>
      </c>
      <c r="CX80" s="304">
        <v>422.69019600000001</v>
      </c>
      <c r="CY80" s="304">
        <v>489.730853141198</v>
      </c>
      <c r="CZ80" s="298">
        <v>450.51</v>
      </c>
      <c r="DA80" s="299">
        <v>514.14</v>
      </c>
      <c r="DB80" s="298">
        <v>624.6</v>
      </c>
      <c r="DC80" s="298">
        <v>698.47</v>
      </c>
      <c r="DD80" s="298">
        <v>713.89</v>
      </c>
      <c r="DE80" s="298">
        <v>902.91</v>
      </c>
      <c r="DF80" s="298">
        <v>1010.74</v>
      </c>
      <c r="DG80" s="298">
        <v>832.55</v>
      </c>
      <c r="DH80" s="298">
        <v>1028.1099999999999</v>
      </c>
      <c r="DI80" s="298">
        <v>983.43</v>
      </c>
      <c r="DJ80" s="298">
        <v>1282.02</v>
      </c>
      <c r="DK80" s="112" t="s">
        <v>77</v>
      </c>
    </row>
    <row r="81" spans="1:115" x14ac:dyDescent="0.4">
      <c r="A81" s="64" t="s">
        <v>78</v>
      </c>
      <c r="B81" s="80">
        <v>2287.1</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c r="BH81" s="66"/>
      <c r="BI81" s="66"/>
      <c r="BJ81" s="66"/>
      <c r="BK81" s="66"/>
      <c r="BL81" s="66"/>
      <c r="BM81" s="66"/>
      <c r="BN81" s="66"/>
      <c r="BO81" s="67"/>
      <c r="BP81" s="66">
        <v>12.08</v>
      </c>
      <c r="BQ81" s="67">
        <v>24.4</v>
      </c>
      <c r="BR81" s="66">
        <v>6.21</v>
      </c>
      <c r="BS81" s="67">
        <v>63.9</v>
      </c>
      <c r="BT81" s="66">
        <v>14.56</v>
      </c>
      <c r="BU81" s="67">
        <v>33.409999999999997</v>
      </c>
      <c r="BV81" s="66">
        <v>24.58</v>
      </c>
      <c r="BW81" s="67">
        <v>19.920000000000002</v>
      </c>
      <c r="BX81" s="66">
        <v>19.98</v>
      </c>
      <c r="BY81" s="67">
        <v>30.96</v>
      </c>
      <c r="BZ81" s="66">
        <v>13.47</v>
      </c>
      <c r="CA81" s="67">
        <v>66.8</v>
      </c>
      <c r="CB81" s="66">
        <v>23.07</v>
      </c>
      <c r="CC81" s="67">
        <v>48.08</v>
      </c>
      <c r="CD81" s="66">
        <v>39.46</v>
      </c>
      <c r="CE81" s="67">
        <v>30.6</v>
      </c>
      <c r="CF81" s="66">
        <v>27.01</v>
      </c>
      <c r="CG81" s="67">
        <v>48.39</v>
      </c>
      <c r="CH81" s="66">
        <v>43.27</v>
      </c>
      <c r="CI81" s="67">
        <v>36.92</v>
      </c>
      <c r="CJ81" s="66">
        <v>5.99</v>
      </c>
      <c r="CK81" s="67">
        <v>282.98</v>
      </c>
      <c r="CL81" s="66">
        <v>37.130000000000003</v>
      </c>
      <c r="CM81" s="67">
        <v>55.87</v>
      </c>
      <c r="CN81" s="66">
        <v>62.67</v>
      </c>
      <c r="CO81" s="67">
        <v>43.04</v>
      </c>
      <c r="CP81" s="66">
        <v>65.430000000000007</v>
      </c>
      <c r="CQ81" s="67">
        <v>45.84</v>
      </c>
      <c r="CR81" s="66"/>
      <c r="CS81" s="67"/>
      <c r="CT81" s="66"/>
      <c r="CU81" s="67"/>
      <c r="CV81" s="67"/>
      <c r="CW81" s="304">
        <v>294.701729</v>
      </c>
      <c r="CX81" s="304">
        <v>396.845347</v>
      </c>
      <c r="CY81" s="304">
        <v>486.41714820689998</v>
      </c>
      <c r="CZ81" s="298">
        <v>489.76</v>
      </c>
      <c r="DA81" s="299">
        <v>618.70000000000005</v>
      </c>
      <c r="DB81" s="298">
        <v>899.75</v>
      </c>
      <c r="DC81" s="298">
        <v>1109.24</v>
      </c>
      <c r="DD81" s="298">
        <v>1207.49</v>
      </c>
      <c r="DE81" s="298">
        <v>1307.22</v>
      </c>
      <c r="DF81" s="298">
        <v>1597.71</v>
      </c>
      <c r="DG81" s="298">
        <v>1696.18</v>
      </c>
      <c r="DH81" s="298">
        <v>2074.75</v>
      </c>
      <c r="DI81" s="298">
        <v>2697.45</v>
      </c>
      <c r="DJ81" s="298">
        <v>2999.57</v>
      </c>
      <c r="DK81" s="112" t="s">
        <v>78</v>
      </c>
    </row>
    <row r="82" spans="1:115" x14ac:dyDescent="0.4">
      <c r="A82" s="64" t="s">
        <v>79</v>
      </c>
      <c r="B82" s="80">
        <v>1334.2</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19.59</v>
      </c>
      <c r="BH82" s="66"/>
      <c r="BI82" s="66"/>
      <c r="BJ82" s="66"/>
      <c r="BK82" s="66"/>
      <c r="BL82" s="66"/>
      <c r="BM82" s="66"/>
      <c r="BN82" s="66"/>
      <c r="BO82" s="67"/>
      <c r="BP82" s="66">
        <v>8.9600000000000009</v>
      </c>
      <c r="BQ82" s="67">
        <v>27.11</v>
      </c>
      <c r="BR82" s="66">
        <v>8.14</v>
      </c>
      <c r="BS82" s="67">
        <v>38.770000000000003</v>
      </c>
      <c r="BT82" s="66">
        <v>18.86</v>
      </c>
      <c r="BU82" s="67">
        <v>21.69</v>
      </c>
      <c r="BV82" s="66">
        <v>20.91</v>
      </c>
      <c r="BW82" s="67">
        <v>19.149999999999999</v>
      </c>
      <c r="BX82" s="66">
        <v>23.08</v>
      </c>
      <c r="BY82" s="67">
        <v>20.91</v>
      </c>
      <c r="BZ82" s="66">
        <v>32.340000000000003</v>
      </c>
      <c r="CA82" s="67">
        <v>21.25</v>
      </c>
      <c r="CB82" s="66">
        <v>28.09</v>
      </c>
      <c r="CC82" s="67">
        <v>24.54</v>
      </c>
      <c r="CD82" s="66">
        <v>30.25</v>
      </c>
      <c r="CE82" s="67">
        <v>21.82</v>
      </c>
      <c r="CF82" s="66">
        <v>30.36</v>
      </c>
      <c r="CG82" s="67">
        <v>27.63</v>
      </c>
      <c r="CH82" s="66">
        <v>51.98</v>
      </c>
      <c r="CI82" s="67">
        <v>19.71</v>
      </c>
      <c r="CJ82" s="66">
        <v>47.65</v>
      </c>
      <c r="CK82" s="67">
        <v>18.09</v>
      </c>
      <c r="CL82" s="66">
        <v>39.090000000000003</v>
      </c>
      <c r="CM82" s="67">
        <v>29.11</v>
      </c>
      <c r="CN82" s="66">
        <v>20.68</v>
      </c>
      <c r="CO82" s="67">
        <v>63.38</v>
      </c>
      <c r="CP82" s="66">
        <v>65.97</v>
      </c>
      <c r="CQ82" s="67">
        <v>25.31</v>
      </c>
      <c r="CR82" s="66"/>
      <c r="CS82" s="67"/>
      <c r="CT82" s="66"/>
      <c r="CU82" s="67"/>
      <c r="CV82" s="67"/>
      <c r="CW82" s="304">
        <v>242.88265999999999</v>
      </c>
      <c r="CX82" s="304">
        <v>315.55561299999999</v>
      </c>
      <c r="CY82" s="304">
        <v>409.05061502341601</v>
      </c>
      <c r="CZ82" s="298">
        <v>400.42</v>
      </c>
      <c r="DA82" s="299">
        <v>482.54</v>
      </c>
      <c r="DB82" s="298">
        <v>687.4</v>
      </c>
      <c r="DC82" s="298">
        <v>689.46</v>
      </c>
      <c r="DD82" s="298">
        <v>659.95</v>
      </c>
      <c r="DE82" s="298">
        <v>838.63</v>
      </c>
      <c r="DF82" s="298">
        <v>1024.6099999999999</v>
      </c>
      <c r="DG82" s="298">
        <v>862.03</v>
      </c>
      <c r="DH82" s="298">
        <v>1137.9000000000001</v>
      </c>
      <c r="DI82" s="298">
        <v>1310.5999999999999</v>
      </c>
      <c r="DJ82" s="298">
        <v>1669.78</v>
      </c>
      <c r="DK82" s="112" t="s">
        <v>79</v>
      </c>
    </row>
    <row r="83" spans="1:115" x14ac:dyDescent="0.4">
      <c r="A83" s="64" t="s">
        <v>80</v>
      </c>
      <c r="B83" s="80">
        <v>3610.92</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41.51</v>
      </c>
      <c r="BH83" s="66"/>
      <c r="BI83" s="66"/>
      <c r="BJ83" s="66"/>
      <c r="BK83" s="66"/>
      <c r="BL83" s="66"/>
      <c r="BM83" s="66"/>
      <c r="BN83" s="66"/>
      <c r="BO83" s="67"/>
      <c r="BP83" s="66">
        <v>-35.08</v>
      </c>
      <c r="BQ83" s="67">
        <v>-15.05</v>
      </c>
      <c r="BR83" s="66">
        <v>16.09</v>
      </c>
      <c r="BS83" s="67">
        <v>51.92</v>
      </c>
      <c r="BT83" s="66">
        <v>43.03</v>
      </c>
      <c r="BU83" s="67">
        <v>25.69</v>
      </c>
      <c r="BV83" s="66">
        <v>39.44</v>
      </c>
      <c r="BW83" s="67">
        <v>24.72</v>
      </c>
      <c r="BX83" s="66">
        <v>44.98</v>
      </c>
      <c r="BY83" s="67">
        <v>24.88</v>
      </c>
      <c r="BZ83" s="66">
        <v>34.67</v>
      </c>
      <c r="CA83" s="67">
        <v>41.39</v>
      </c>
      <c r="CB83" s="66">
        <v>34.94</v>
      </c>
      <c r="CC83" s="67">
        <v>44.1</v>
      </c>
      <c r="CD83" s="66">
        <v>28.42</v>
      </c>
      <c r="CE83" s="67">
        <v>54.22</v>
      </c>
      <c r="CF83" s="66">
        <v>40.54</v>
      </c>
      <c r="CG83" s="67">
        <v>45.86</v>
      </c>
      <c r="CH83" s="66">
        <v>53.69</v>
      </c>
      <c r="CI83" s="67">
        <v>43.07</v>
      </c>
      <c r="CJ83" s="66">
        <v>71.97</v>
      </c>
      <c r="CK83" s="67">
        <v>30.19</v>
      </c>
      <c r="CL83" s="66">
        <v>62.04</v>
      </c>
      <c r="CM83" s="67">
        <v>49.76</v>
      </c>
      <c r="CN83" s="66">
        <v>47.74</v>
      </c>
      <c r="CO83" s="67">
        <v>87.72</v>
      </c>
      <c r="CP83" s="66">
        <v>109.56</v>
      </c>
      <c r="CQ83" s="67">
        <v>43.3</v>
      </c>
      <c r="CR83" s="66"/>
      <c r="CS83" s="67"/>
      <c r="CT83" s="66"/>
      <c r="CU83" s="67"/>
      <c r="CV83" s="67"/>
      <c r="CW83" s="304">
        <v>528.07611299999996</v>
      </c>
      <c r="CX83" s="304">
        <v>835.384862</v>
      </c>
      <c r="CY83" s="304">
        <v>1105.3769852549799</v>
      </c>
      <c r="CZ83" s="298">
        <v>974.98</v>
      </c>
      <c r="DA83" s="299">
        <v>1119.05</v>
      </c>
      <c r="DB83" s="298">
        <v>1435.18</v>
      </c>
      <c r="DC83" s="298">
        <v>1541.03</v>
      </c>
      <c r="DD83" s="298">
        <v>1540.74</v>
      </c>
      <c r="DE83" s="298">
        <v>1859.31</v>
      </c>
      <c r="DF83" s="298">
        <v>2312.38</v>
      </c>
      <c r="DG83" s="298">
        <v>2172.89</v>
      </c>
      <c r="DH83" s="298">
        <v>3087.28</v>
      </c>
      <c r="DI83" s="298">
        <v>4187.95</v>
      </c>
      <c r="DJ83" s="298">
        <v>4743.55</v>
      </c>
      <c r="DK83" s="112" t="s">
        <v>80</v>
      </c>
    </row>
    <row r="84" spans="1:115" x14ac:dyDescent="0.4">
      <c r="A84" s="64" t="s">
        <v>81</v>
      </c>
      <c r="B84" s="80">
        <v>635.22</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26.3</v>
      </c>
      <c r="BH84" s="66"/>
      <c r="BI84" s="66"/>
      <c r="BJ84" s="66"/>
      <c r="BK84" s="66"/>
      <c r="BL84" s="66"/>
      <c r="BM84" s="66"/>
      <c r="BN84" s="66"/>
      <c r="BO84" s="67"/>
      <c r="BP84" s="66">
        <v>7.97</v>
      </c>
      <c r="BQ84" s="67">
        <v>16.07</v>
      </c>
      <c r="BR84" s="66">
        <v>8.52</v>
      </c>
      <c r="BS84" s="67">
        <v>22.87</v>
      </c>
      <c r="BT84" s="66">
        <v>13.83</v>
      </c>
      <c r="BU84" s="67">
        <v>17.73</v>
      </c>
      <c r="BV84" s="66">
        <v>12.9</v>
      </c>
      <c r="BW84" s="67">
        <v>18.86</v>
      </c>
      <c r="BX84" s="66">
        <v>14.1</v>
      </c>
      <c r="BY84" s="67">
        <v>20.69</v>
      </c>
      <c r="BZ84" s="66">
        <v>19.2</v>
      </c>
      <c r="CA84" s="67">
        <v>18.600000000000001</v>
      </c>
      <c r="CB84" s="66">
        <v>-6.59</v>
      </c>
      <c r="CC84" s="67">
        <v>-56.57</v>
      </c>
      <c r="CD84" s="66">
        <v>5.23</v>
      </c>
      <c r="CE84" s="67">
        <v>60.85</v>
      </c>
      <c r="CF84" s="66">
        <v>11.86</v>
      </c>
      <c r="CG84" s="67">
        <v>36.090000000000003</v>
      </c>
      <c r="CH84" s="66">
        <v>24.37</v>
      </c>
      <c r="CI84" s="67">
        <v>21</v>
      </c>
      <c r="CJ84" s="66">
        <v>33.090000000000003</v>
      </c>
      <c r="CK84" s="67">
        <v>12.09</v>
      </c>
      <c r="CL84" s="66">
        <v>15.61</v>
      </c>
      <c r="CM84" s="67">
        <v>30.33</v>
      </c>
      <c r="CN84" s="66">
        <v>9.59</v>
      </c>
      <c r="CO84" s="67">
        <v>53.44</v>
      </c>
      <c r="CP84" s="66">
        <v>76.09</v>
      </c>
      <c r="CQ84" s="67">
        <v>8.7799999999999994</v>
      </c>
      <c r="CR84" s="66"/>
      <c r="CS84" s="67"/>
      <c r="CT84" s="66"/>
      <c r="CU84" s="67"/>
      <c r="CV84" s="67"/>
      <c r="CW84" s="304">
        <v>128.06459000000001</v>
      </c>
      <c r="CX84" s="304">
        <v>194.888015</v>
      </c>
      <c r="CY84" s="304">
        <v>245.231305321018</v>
      </c>
      <c r="CZ84" s="298">
        <v>243.2</v>
      </c>
      <c r="DA84" s="299">
        <v>291.69</v>
      </c>
      <c r="DB84" s="298">
        <v>357.13</v>
      </c>
      <c r="DC84" s="298">
        <v>372.73</v>
      </c>
      <c r="DD84" s="298">
        <v>318.49</v>
      </c>
      <c r="DE84" s="298">
        <v>428.14</v>
      </c>
      <c r="DF84" s="298">
        <v>511.92</v>
      </c>
      <c r="DG84" s="298">
        <v>400.22</v>
      </c>
      <c r="DH84" s="298">
        <v>473.6</v>
      </c>
      <c r="DI84" s="298">
        <v>512.58000000000004</v>
      </c>
      <c r="DJ84" s="298">
        <v>667.76</v>
      </c>
      <c r="DK84" s="112" t="s">
        <v>81</v>
      </c>
    </row>
    <row r="85" spans="1:115" x14ac:dyDescent="0.4">
      <c r="A85" s="64" t="s">
        <v>385</v>
      </c>
      <c r="B85" s="80">
        <v>132.52000000000001</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1.34</v>
      </c>
      <c r="BH85" s="66"/>
      <c r="BI85" s="66"/>
      <c r="BJ85" s="66"/>
      <c r="BK85" s="66"/>
      <c r="BL85" s="66"/>
      <c r="BM85" s="66"/>
      <c r="BN85" s="66"/>
      <c r="BO85" s="67"/>
      <c r="BP85" s="66">
        <v>6.29</v>
      </c>
      <c r="BQ85" s="67">
        <v>22.76</v>
      </c>
      <c r="BR85" s="66">
        <v>9.85</v>
      </c>
      <c r="BS85" s="67">
        <v>16.41</v>
      </c>
      <c r="BT85" s="66">
        <v>10.28</v>
      </c>
      <c r="BU85" s="67">
        <v>17.829999999999998</v>
      </c>
      <c r="BV85" s="66">
        <v>7.11</v>
      </c>
      <c r="BW85" s="67">
        <v>23.09</v>
      </c>
      <c r="BX85" s="66">
        <v>4.67</v>
      </c>
      <c r="BY85" s="67">
        <v>40.18</v>
      </c>
      <c r="BZ85" s="66">
        <v>5.0999999999999996</v>
      </c>
      <c r="CA85" s="67">
        <v>43.58</v>
      </c>
      <c r="CC85" s="67">
        <v>272.64999999999998</v>
      </c>
      <c r="CD85" s="66">
        <v>20.350000000000001</v>
      </c>
      <c r="CE85" s="67">
        <v>11.54</v>
      </c>
      <c r="CF85" s="66">
        <v>3.45</v>
      </c>
      <c r="CG85" s="67">
        <v>75.97</v>
      </c>
      <c r="CH85" s="66">
        <v>-33.39</v>
      </c>
      <c r="CI85" s="67">
        <v>-4.42</v>
      </c>
      <c r="CJ85" s="66">
        <v>6.8</v>
      </c>
      <c r="CK85" s="67">
        <v>21.73</v>
      </c>
      <c r="CL85" s="66">
        <v>6.06</v>
      </c>
      <c r="CM85" s="67">
        <v>28.04</v>
      </c>
      <c r="CN85" s="66">
        <v>0.53</v>
      </c>
      <c r="CO85" s="67">
        <v>335.33</v>
      </c>
      <c r="CP85" s="66">
        <v>4.5999999999999996</v>
      </c>
      <c r="CQ85" s="67">
        <v>36.99</v>
      </c>
      <c r="CR85" s="66"/>
      <c r="CS85" s="67"/>
      <c r="CT85" s="66"/>
      <c r="CU85" s="67"/>
      <c r="CV85" s="67"/>
      <c r="CW85" s="304">
        <v>143.15840499999999</v>
      </c>
      <c r="CX85" s="304">
        <v>161.645354</v>
      </c>
      <c r="CY85" s="304">
        <v>183.360245492996</v>
      </c>
      <c r="CZ85" s="298">
        <v>164.14</v>
      </c>
      <c r="DA85" s="299">
        <v>187.72</v>
      </c>
      <c r="DB85" s="298">
        <v>222.36</v>
      </c>
      <c r="DC85" s="298">
        <v>272.64999999999998</v>
      </c>
      <c r="DD85" s="298">
        <v>234.88</v>
      </c>
      <c r="DE85" s="298">
        <v>261.92</v>
      </c>
      <c r="DF85" s="298">
        <v>147.5</v>
      </c>
      <c r="DG85" s="298">
        <v>147.82</v>
      </c>
      <c r="DH85" s="298">
        <v>169.82</v>
      </c>
      <c r="DI85" s="298">
        <v>176.88</v>
      </c>
      <c r="DJ85" s="298">
        <v>170.07</v>
      </c>
      <c r="DK85" s="112" t="s">
        <v>385</v>
      </c>
    </row>
    <row r="86" spans="1:115" x14ac:dyDescent="0.4">
      <c r="A86" s="64" t="s">
        <v>82</v>
      </c>
      <c r="B86" s="80">
        <v>572.66</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c r="BI86" s="66"/>
      <c r="BJ86" s="66"/>
      <c r="BK86" s="66"/>
      <c r="BL86" s="66"/>
      <c r="BM86" s="66"/>
      <c r="BN86" s="66"/>
      <c r="BO86" s="67"/>
      <c r="BP86" s="66">
        <v>14.44</v>
      </c>
      <c r="BQ86" s="67">
        <v>14.53</v>
      </c>
      <c r="BR86" s="66">
        <v>13.25</v>
      </c>
      <c r="BS86" s="67">
        <v>18.36</v>
      </c>
      <c r="BT86" s="66">
        <v>17.13</v>
      </c>
      <c r="BU86" s="67">
        <v>15.61</v>
      </c>
      <c r="BV86" s="66">
        <v>17.739999999999998</v>
      </c>
      <c r="BW86" s="67">
        <v>16.97</v>
      </c>
      <c r="BX86" s="66">
        <v>18.190000000000001</v>
      </c>
      <c r="BY86" s="67">
        <v>16.829999999999998</v>
      </c>
      <c r="BZ86" s="66">
        <v>20.81</v>
      </c>
      <c r="CA86" s="67">
        <v>18.09</v>
      </c>
      <c r="CB86" s="66">
        <v>22.37</v>
      </c>
      <c r="CC86" s="67">
        <v>19.399999999999999</v>
      </c>
      <c r="CD86" s="66">
        <v>11.56</v>
      </c>
      <c r="CE86" s="67">
        <v>34.19</v>
      </c>
      <c r="CF86" s="66">
        <v>22.37</v>
      </c>
      <c r="CG86" s="67">
        <v>21.84</v>
      </c>
      <c r="CH86" s="66">
        <v>26.52</v>
      </c>
      <c r="CI86" s="67">
        <v>19.899999999999999</v>
      </c>
      <c r="CJ86" s="66">
        <v>24.89</v>
      </c>
      <c r="CK86" s="67">
        <v>22.02</v>
      </c>
      <c r="CL86" s="66">
        <v>26.31</v>
      </c>
      <c r="CM86" s="67">
        <v>23.18</v>
      </c>
      <c r="CN86" s="66">
        <v>20.45</v>
      </c>
      <c r="CO86" s="67">
        <v>24.81</v>
      </c>
      <c r="CP86" s="66">
        <v>35.869999999999997</v>
      </c>
      <c r="CQ86" s="67">
        <v>16.399999999999999</v>
      </c>
      <c r="CR86" s="66"/>
      <c r="CS86" s="67"/>
      <c r="CT86" s="66"/>
      <c r="CU86" s="67"/>
      <c r="CV86" s="67"/>
      <c r="CW86" s="304">
        <v>209.869193</v>
      </c>
      <c r="CX86" s="304">
        <v>243.21781100000001</v>
      </c>
      <c r="CY86" s="304">
        <v>267.44165166607797</v>
      </c>
      <c r="CZ86" s="298">
        <v>300.99</v>
      </c>
      <c r="DA86" s="299">
        <v>306.13</v>
      </c>
      <c r="DB86" s="298">
        <v>376.37</v>
      </c>
      <c r="DC86" s="298">
        <v>433.87</v>
      </c>
      <c r="DD86" s="298">
        <v>395.09</v>
      </c>
      <c r="DE86" s="298">
        <v>488.45</v>
      </c>
      <c r="DF86" s="298">
        <v>527.86</v>
      </c>
      <c r="DG86" s="298">
        <v>548.16999999999996</v>
      </c>
      <c r="DH86" s="298">
        <v>609.92999999999995</v>
      </c>
      <c r="DI86" s="298">
        <v>507.41</v>
      </c>
      <c r="DJ86" s="298">
        <v>588.14</v>
      </c>
      <c r="DK86" s="112" t="s">
        <v>82</v>
      </c>
    </row>
    <row r="87" spans="1:115" x14ac:dyDescent="0.4">
      <c r="A87" s="64" t="s">
        <v>311</v>
      </c>
      <c r="B87" s="80">
        <v>224.26</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c r="BI87" s="66"/>
      <c r="BJ87" s="66"/>
      <c r="BK87" s="66"/>
      <c r="BL87" s="66"/>
      <c r="BM87" s="66"/>
      <c r="BN87" s="66"/>
      <c r="BO87" s="67"/>
      <c r="BQ87" s="67"/>
      <c r="BS87" s="67"/>
      <c r="BU87" s="67"/>
      <c r="BW87" s="67"/>
      <c r="BY87" s="67"/>
      <c r="BZ87" s="66">
        <v>4.01</v>
      </c>
      <c r="CA87" s="67">
        <v>41.67</v>
      </c>
      <c r="CB87" s="66">
        <v>6.99</v>
      </c>
      <c r="CC87" s="67">
        <v>29.83</v>
      </c>
      <c r="CD87" s="66">
        <v>6.35</v>
      </c>
      <c r="CE87" s="67">
        <v>32.71</v>
      </c>
      <c r="CF87" s="66">
        <v>7.78</v>
      </c>
      <c r="CG87" s="67">
        <v>29.47</v>
      </c>
      <c r="CH87" s="66">
        <v>6.85</v>
      </c>
      <c r="CI87" s="67">
        <v>33.270000000000003</v>
      </c>
      <c r="CJ87" s="66">
        <v>8.4499999999999993</v>
      </c>
      <c r="CK87" s="67">
        <v>24.19</v>
      </c>
      <c r="CL87" s="66">
        <v>8.1199999999999992</v>
      </c>
      <c r="CM87" s="67">
        <v>29.93</v>
      </c>
      <c r="CN87" s="66">
        <v>1.87</v>
      </c>
      <c r="CO87" s="67">
        <v>109.81</v>
      </c>
      <c r="CP87" s="66">
        <v>7.14</v>
      </c>
      <c r="CQ87" s="67">
        <v>37.619999999999997</v>
      </c>
      <c r="CR87" s="66"/>
      <c r="CS87" s="67"/>
      <c r="CT87" s="66"/>
      <c r="CU87" s="67"/>
      <c r="CV87" s="67"/>
      <c r="CW87" s="304"/>
      <c r="CX87" s="304"/>
      <c r="CY87" s="304"/>
      <c r="DB87" s="298"/>
      <c r="DC87" s="298"/>
      <c r="DD87" s="298"/>
      <c r="DE87" s="298">
        <v>229.19</v>
      </c>
      <c r="DF87" s="298">
        <v>227.79</v>
      </c>
      <c r="DG87" s="298">
        <v>204.51</v>
      </c>
      <c r="DH87" s="298">
        <v>243.17</v>
      </c>
      <c r="DI87" s="298">
        <v>204.86</v>
      </c>
      <c r="DJ87" s="298">
        <v>268.74</v>
      </c>
      <c r="DK87" s="112" t="s">
        <v>509</v>
      </c>
    </row>
    <row r="88" spans="1:115" x14ac:dyDescent="0.4">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7"/>
      <c r="BQ88" s="67"/>
      <c r="BS88" s="67"/>
      <c r="BU88" s="67"/>
      <c r="BW88" s="67"/>
      <c r="BY88" s="67"/>
      <c r="CA88" s="67"/>
      <c r="CC88" s="67"/>
      <c r="CE88" s="67"/>
      <c r="CG88" s="67"/>
      <c r="CH88" s="66"/>
      <c r="CI88" s="67"/>
      <c r="CJ88" s="66"/>
      <c r="CK88" s="67"/>
      <c r="CL88" s="66"/>
      <c r="CM88" s="67"/>
      <c r="CN88" s="66"/>
      <c r="CO88" s="67"/>
      <c r="CP88" s="66"/>
      <c r="CQ88" s="67"/>
      <c r="CR88" s="66"/>
      <c r="CS88" s="67"/>
      <c r="CT88" s="66"/>
      <c r="CU88" s="67"/>
      <c r="CV88" s="67"/>
      <c r="DB88" s="298"/>
      <c r="DC88" s="298"/>
      <c r="DD88" s="298"/>
      <c r="DE88" s="298"/>
      <c r="DF88" s="298"/>
      <c r="DG88" s="298"/>
      <c r="DH88" s="298"/>
      <c r="DI88" s="298"/>
    </row>
    <row r="89" spans="1:115" x14ac:dyDescent="0.4">
      <c r="A89" s="64" t="s">
        <v>83</v>
      </c>
      <c r="B89" s="80">
        <v>1147.42</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11.03</v>
      </c>
      <c r="BH89" s="66"/>
      <c r="BI89" s="66"/>
      <c r="BJ89" s="66"/>
      <c r="BK89" s="66"/>
      <c r="BL89" s="66"/>
      <c r="BM89" s="66"/>
      <c r="BN89" s="66"/>
      <c r="BO89" s="67"/>
      <c r="BP89" s="66">
        <v>-6.33</v>
      </c>
      <c r="BQ89" s="67">
        <v>-42.45</v>
      </c>
      <c r="BR89" s="66">
        <v>2.2599999999999998</v>
      </c>
      <c r="BS89" s="67">
        <v>147.18</v>
      </c>
      <c r="BT89" s="66">
        <v>13.98</v>
      </c>
      <c r="BU89" s="67">
        <v>29.73</v>
      </c>
      <c r="BV89" s="66">
        <v>15.68</v>
      </c>
      <c r="BW89" s="67">
        <v>26.47</v>
      </c>
      <c r="BX89" s="66">
        <v>16.32</v>
      </c>
      <c r="BY89" s="67">
        <v>29.19</v>
      </c>
      <c r="BZ89" s="66">
        <v>20.94</v>
      </c>
      <c r="CA89" s="67">
        <v>31.79</v>
      </c>
      <c r="CB89" s="66">
        <v>20.79</v>
      </c>
      <c r="CC89" s="67">
        <v>33.43</v>
      </c>
      <c r="CD89" s="66">
        <v>9.7899999999999991</v>
      </c>
      <c r="CE89" s="67">
        <v>68.62</v>
      </c>
      <c r="CF89" s="66">
        <v>17.04</v>
      </c>
      <c r="CG89" s="67">
        <v>49.19</v>
      </c>
      <c r="CH89" s="66">
        <v>18.559999999999999</v>
      </c>
      <c r="CI89" s="67">
        <v>50.44</v>
      </c>
      <c r="CJ89" s="66">
        <v>23.31</v>
      </c>
      <c r="CK89" s="67">
        <v>36.24</v>
      </c>
      <c r="CL89" s="66">
        <v>7.86</v>
      </c>
      <c r="CM89" s="67">
        <v>129.96</v>
      </c>
      <c r="CN89" s="66">
        <v>-33.520000000000003</v>
      </c>
      <c r="CO89" s="67">
        <v>-33.380000000000003</v>
      </c>
      <c r="CP89" s="66">
        <v>63.55</v>
      </c>
      <c r="CQ89" s="67">
        <v>22.06</v>
      </c>
      <c r="CR89" s="66"/>
      <c r="CS89" s="67"/>
      <c r="CT89" s="66"/>
      <c r="CU89" s="67"/>
      <c r="CV89" s="67"/>
      <c r="CW89" s="304">
        <v>268.73003299999999</v>
      </c>
      <c r="CX89" s="304">
        <v>332.63385699999998</v>
      </c>
      <c r="CY89" s="304">
        <v>415.72857196557999</v>
      </c>
      <c r="CZ89" s="298">
        <v>415.07</v>
      </c>
      <c r="DA89" s="299">
        <v>476.57</v>
      </c>
      <c r="DB89" s="298">
        <v>665.54</v>
      </c>
      <c r="DC89" s="298">
        <v>695.08</v>
      </c>
      <c r="DD89" s="298">
        <v>671.74</v>
      </c>
      <c r="DE89" s="298">
        <v>837.96</v>
      </c>
      <c r="DF89" s="298">
        <v>936.26</v>
      </c>
      <c r="DG89" s="298">
        <v>844.94</v>
      </c>
      <c r="DH89" s="298">
        <v>1021.18</v>
      </c>
      <c r="DI89" s="298">
        <v>1118.93</v>
      </c>
      <c r="DJ89" s="298">
        <v>1401.71</v>
      </c>
      <c r="DK89" s="112" t="s">
        <v>83</v>
      </c>
    </row>
    <row r="90" spans="1:115" x14ac:dyDescent="0.4">
      <c r="A90" s="64" t="s">
        <v>84</v>
      </c>
      <c r="B90" s="80">
        <v>759.74</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c r="BH90" s="66"/>
      <c r="BI90" s="66"/>
      <c r="BJ90" s="66"/>
      <c r="BK90" s="66"/>
      <c r="BL90" s="66"/>
      <c r="BM90" s="66"/>
      <c r="BN90" s="66"/>
      <c r="BO90" s="67"/>
      <c r="BP90" s="66">
        <v>-23.14</v>
      </c>
      <c r="BQ90" s="67">
        <v>-5.41</v>
      </c>
      <c r="BR90" s="66">
        <v>1.38</v>
      </c>
      <c r="BS90" s="67">
        <v>136.63</v>
      </c>
      <c r="BT90" s="66">
        <v>8.59</v>
      </c>
      <c r="BU90" s="67">
        <v>29.62</v>
      </c>
      <c r="BV90" s="66">
        <v>11.04</v>
      </c>
      <c r="BW90" s="67">
        <v>22.32</v>
      </c>
      <c r="BX90" s="66">
        <v>10.59</v>
      </c>
      <c r="BY90" s="67">
        <v>28.67</v>
      </c>
      <c r="BZ90" s="66">
        <v>15.87</v>
      </c>
      <c r="CA90" s="67">
        <v>28.25</v>
      </c>
      <c r="CB90" s="66">
        <v>14.54</v>
      </c>
      <c r="CC90" s="67">
        <v>32.07</v>
      </c>
      <c r="CD90" s="66">
        <v>8.89</v>
      </c>
      <c r="CE90" s="67">
        <v>47.42</v>
      </c>
      <c r="CF90" s="66">
        <v>20.04</v>
      </c>
      <c r="CG90" s="67">
        <v>24.11</v>
      </c>
      <c r="CH90" s="66">
        <v>9.6300000000000008</v>
      </c>
      <c r="CI90" s="67">
        <v>58.12</v>
      </c>
      <c r="CJ90" s="66">
        <v>16.95</v>
      </c>
      <c r="CK90" s="67">
        <v>29.95</v>
      </c>
      <c r="CL90" s="66">
        <v>21.78</v>
      </c>
      <c r="CM90" s="67">
        <v>27.08</v>
      </c>
      <c r="CN90" s="66">
        <v>4.3</v>
      </c>
      <c r="CO90" s="67">
        <v>175</v>
      </c>
      <c r="CP90" s="66">
        <v>82.21</v>
      </c>
      <c r="CQ90" s="67">
        <v>12.49</v>
      </c>
      <c r="CR90" s="66"/>
      <c r="CS90" s="67"/>
      <c r="CT90" s="66"/>
      <c r="CU90" s="67"/>
      <c r="CV90" s="67"/>
      <c r="CW90" s="304">
        <v>125.120938</v>
      </c>
      <c r="CX90" s="304">
        <v>188.551579</v>
      </c>
      <c r="CY90" s="304">
        <v>254.457481513792</v>
      </c>
      <c r="CZ90" s="298">
        <v>246.53</v>
      </c>
      <c r="DA90" s="299">
        <v>303.55</v>
      </c>
      <c r="DB90" s="298">
        <v>448.34</v>
      </c>
      <c r="DC90" s="298">
        <v>466.27</v>
      </c>
      <c r="DD90" s="298">
        <v>421.45</v>
      </c>
      <c r="DE90" s="298">
        <v>483.14</v>
      </c>
      <c r="DF90" s="298">
        <v>559.41</v>
      </c>
      <c r="DG90" s="298">
        <v>507.59</v>
      </c>
      <c r="DH90" s="298">
        <v>589.79</v>
      </c>
      <c r="DI90" s="298">
        <v>752.12</v>
      </c>
      <c r="DJ90" s="298">
        <v>1027.18</v>
      </c>
      <c r="DK90" s="112" t="s">
        <v>84</v>
      </c>
    </row>
    <row r="91" spans="1:115" x14ac:dyDescent="0.4">
      <c r="A91" s="64" t="s">
        <v>85</v>
      </c>
      <c r="B91" s="80">
        <v>2259.88</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27.87</v>
      </c>
      <c r="BH91" s="66"/>
      <c r="BI91" s="66"/>
      <c r="BJ91" s="66"/>
      <c r="BK91" s="66"/>
      <c r="BL91" s="66"/>
      <c r="BM91" s="66"/>
      <c r="BN91" s="66"/>
      <c r="BO91" s="67"/>
      <c r="BP91" s="66">
        <v>-0.26</v>
      </c>
      <c r="BQ91" s="67">
        <v>-1581.48</v>
      </c>
      <c r="BR91" s="66">
        <v>5.63</v>
      </c>
      <c r="BS91" s="67">
        <v>100.71</v>
      </c>
      <c r="BT91" s="66">
        <v>21.86</v>
      </c>
      <c r="BU91" s="67">
        <v>32.43</v>
      </c>
      <c r="BV91" s="66">
        <v>33.81</v>
      </c>
      <c r="BW91" s="67">
        <v>22.53</v>
      </c>
      <c r="BX91" s="66">
        <v>41.5</v>
      </c>
      <c r="BY91" s="67">
        <v>20.62</v>
      </c>
      <c r="BZ91" s="66">
        <v>36.61</v>
      </c>
      <c r="CA91" s="67">
        <v>33.520000000000003</v>
      </c>
      <c r="CB91" s="66">
        <v>54.48</v>
      </c>
      <c r="CC91" s="67">
        <v>24.63</v>
      </c>
      <c r="CD91" s="66">
        <v>68.77</v>
      </c>
      <c r="CE91" s="67">
        <v>19.3</v>
      </c>
      <c r="CF91" s="66">
        <v>68.72</v>
      </c>
      <c r="CG91" s="67">
        <v>23.98</v>
      </c>
      <c r="CH91" s="66">
        <v>69.83</v>
      </c>
      <c r="CI91" s="67">
        <v>25.39</v>
      </c>
      <c r="CJ91" s="66">
        <v>10.85</v>
      </c>
      <c r="CK91" s="67">
        <v>152.9</v>
      </c>
      <c r="CL91" s="66">
        <v>31.89</v>
      </c>
      <c r="CM91" s="67">
        <v>59.68</v>
      </c>
      <c r="CN91" s="66">
        <v>87.97</v>
      </c>
      <c r="CO91" s="67">
        <v>23.51</v>
      </c>
      <c r="CP91" s="66">
        <v>101.08</v>
      </c>
      <c r="CQ91" s="67">
        <v>25.97</v>
      </c>
      <c r="CR91" s="66"/>
      <c r="CS91" s="67"/>
      <c r="CT91" s="66"/>
      <c r="CU91" s="67"/>
      <c r="CV91" s="67"/>
      <c r="CW91" s="304">
        <v>411.18553700000001</v>
      </c>
      <c r="CX91" s="304">
        <v>566.97425799999996</v>
      </c>
      <c r="CY91" s="304">
        <v>708.93524962621302</v>
      </c>
      <c r="CZ91" s="298">
        <v>761.75</v>
      </c>
      <c r="DA91" s="299">
        <v>855.92</v>
      </c>
      <c r="DB91" s="298">
        <v>1227.1199999999999</v>
      </c>
      <c r="DC91" s="298">
        <v>1341.7</v>
      </c>
      <c r="DD91" s="298">
        <v>1327.38</v>
      </c>
      <c r="DE91" s="298">
        <v>1647.99</v>
      </c>
      <c r="DF91" s="298">
        <v>1773.17</v>
      </c>
      <c r="DG91" s="298">
        <v>1659.2</v>
      </c>
      <c r="DH91" s="298">
        <v>1903.46</v>
      </c>
      <c r="DI91" s="298">
        <v>2068.36</v>
      </c>
      <c r="DJ91" s="298">
        <v>2625.28</v>
      </c>
      <c r="DK91" s="112" t="s">
        <v>85</v>
      </c>
    </row>
    <row r="92" spans="1:115" x14ac:dyDescent="0.4">
      <c r="A92" s="64" t="s">
        <v>86</v>
      </c>
      <c r="B92" s="80">
        <v>341.82</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-20.88</v>
      </c>
      <c r="BH92" s="66"/>
      <c r="BI92" s="66"/>
      <c r="BJ92" s="66"/>
      <c r="BK92" s="66"/>
      <c r="BL92" s="66"/>
      <c r="BM92" s="66"/>
      <c r="BN92" s="66"/>
      <c r="BO92" s="67"/>
      <c r="BP92" s="66">
        <v>-2.71</v>
      </c>
      <c r="BQ92" s="67">
        <v>-187.82</v>
      </c>
      <c r="BR92" s="66">
        <v>-3.97</v>
      </c>
      <c r="BS92" s="67">
        <v>-207.64</v>
      </c>
      <c r="BT92" s="66">
        <v>41.88</v>
      </c>
      <c r="BU92" s="67">
        <v>28.41</v>
      </c>
      <c r="BV92" s="66">
        <v>56.23</v>
      </c>
      <c r="BW92" s="67">
        <v>21.64</v>
      </c>
      <c r="BX92" s="66">
        <v>12.34</v>
      </c>
      <c r="BY92" s="67">
        <v>98.32</v>
      </c>
      <c r="BZ92" s="66">
        <v>14.59</v>
      </c>
      <c r="CA92" s="67">
        <v>114.85</v>
      </c>
      <c r="CB92" s="66">
        <v>-76.52</v>
      </c>
      <c r="CC92" s="67">
        <v>-13.97</v>
      </c>
      <c r="CD92" s="66">
        <v>-350.34</v>
      </c>
      <c r="CE92" s="67">
        <v>-1.6</v>
      </c>
      <c r="CF92" s="66">
        <v>-131.37</v>
      </c>
      <c r="CG92" s="67">
        <v>-5.83</v>
      </c>
      <c r="CH92" s="66">
        <v>-10.210000000000001</v>
      </c>
      <c r="CI92" s="67">
        <v>-55</v>
      </c>
      <c r="CJ92" s="66">
        <v>-11.76</v>
      </c>
      <c r="CK92" s="67">
        <v>-27.23</v>
      </c>
      <c r="CL92" s="66">
        <v>-77.680000000000007</v>
      </c>
      <c r="CM92" s="67">
        <v>-3.5</v>
      </c>
      <c r="CN92" s="66">
        <v>-212.01</v>
      </c>
      <c r="CO92" s="67">
        <v>-0.76</v>
      </c>
      <c r="CP92" s="66">
        <v>1.32</v>
      </c>
      <c r="CQ92" s="67">
        <v>195.95</v>
      </c>
      <c r="CR92" s="66"/>
      <c r="CS92" s="67"/>
      <c r="CT92" s="66"/>
      <c r="CU92" s="67"/>
      <c r="CV92" s="67"/>
      <c r="CW92" s="304">
        <v>509.004437</v>
      </c>
      <c r="CX92" s="304">
        <v>824.31099900000004</v>
      </c>
      <c r="CY92" s="304">
        <v>1189.83001928814</v>
      </c>
      <c r="CZ92" s="298">
        <v>1216.75</v>
      </c>
      <c r="DA92" s="299">
        <v>1213.24</v>
      </c>
      <c r="DB92" s="298">
        <v>1675.39</v>
      </c>
      <c r="DC92" s="298">
        <v>1068.8599999999999</v>
      </c>
      <c r="DD92" s="298">
        <v>559.04</v>
      </c>
      <c r="DE92" s="298">
        <v>766.14</v>
      </c>
      <c r="DF92" s="298">
        <v>561.77</v>
      </c>
      <c r="DG92" s="298">
        <v>320.23</v>
      </c>
      <c r="DH92" s="298">
        <v>271.61</v>
      </c>
      <c r="DI92" s="298">
        <v>162.15</v>
      </c>
      <c r="DJ92" s="298">
        <v>258.19</v>
      </c>
      <c r="DK92" s="112" t="s">
        <v>86</v>
      </c>
    </row>
    <row r="93" spans="1:115" x14ac:dyDescent="0.4">
      <c r="A93" s="64" t="s">
        <v>87</v>
      </c>
      <c r="B93" s="80">
        <v>1008.92</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25.3</v>
      </c>
      <c r="BH93" s="66"/>
      <c r="BI93" s="66"/>
      <c r="BJ93" s="66"/>
      <c r="BK93" s="66"/>
      <c r="BL93" s="66"/>
      <c r="BM93" s="66"/>
      <c r="BN93" s="66"/>
      <c r="BO93" s="67"/>
      <c r="BP93" s="66">
        <v>-21.1</v>
      </c>
      <c r="BQ93" s="67">
        <v>-21.6</v>
      </c>
      <c r="BR93" s="66">
        <v>-15.19</v>
      </c>
      <c r="BS93" s="67">
        <v>-27.51</v>
      </c>
      <c r="BT93" s="66">
        <v>6.05</v>
      </c>
      <c r="BU93" s="67">
        <v>81.73</v>
      </c>
      <c r="BV93" s="66">
        <v>16.43</v>
      </c>
      <c r="BW93" s="67">
        <v>29.84</v>
      </c>
      <c r="BX93" s="66">
        <v>25.58</v>
      </c>
      <c r="BY93" s="67">
        <v>21.86</v>
      </c>
      <c r="BZ93" s="66">
        <v>31.96</v>
      </c>
      <c r="CA93" s="67">
        <v>22.42</v>
      </c>
      <c r="CB93" s="66">
        <v>36.96</v>
      </c>
      <c r="CC93" s="67">
        <v>20.41</v>
      </c>
      <c r="CD93" s="66">
        <v>32.19</v>
      </c>
      <c r="CE93" s="67">
        <v>22.84</v>
      </c>
      <c r="CF93" s="66">
        <v>43.13</v>
      </c>
      <c r="CG93" s="67">
        <v>23.07</v>
      </c>
      <c r="CH93" s="66">
        <v>45.75</v>
      </c>
      <c r="CI93" s="67">
        <v>22.68</v>
      </c>
      <c r="CJ93" s="66">
        <v>58</v>
      </c>
      <c r="CK93" s="67">
        <v>16.36</v>
      </c>
      <c r="CL93" s="66">
        <v>72.349999999999994</v>
      </c>
      <c r="CM93" s="67">
        <v>15.35</v>
      </c>
      <c r="CN93" s="66">
        <v>17.809999999999999</v>
      </c>
      <c r="CO93" s="67">
        <v>55.26</v>
      </c>
      <c r="CP93" s="66">
        <v>105.88</v>
      </c>
      <c r="CQ93" s="67">
        <v>11.54</v>
      </c>
      <c r="CR93" s="66"/>
      <c r="CS93" s="67"/>
      <c r="CT93" s="66"/>
      <c r="CU93" s="67"/>
      <c r="CV93" s="67"/>
      <c r="CW93" s="304">
        <v>455.79289599999998</v>
      </c>
      <c r="CX93" s="304">
        <v>417.94242200000002</v>
      </c>
      <c r="CY93" s="304">
        <v>494.85522157515697</v>
      </c>
      <c r="CZ93" s="298">
        <v>490.3</v>
      </c>
      <c r="DA93" s="299">
        <v>559.32000000000005</v>
      </c>
      <c r="DB93" s="298">
        <v>716.59</v>
      </c>
      <c r="DC93" s="298">
        <v>754.55</v>
      </c>
      <c r="DD93" s="298">
        <v>735.23</v>
      </c>
      <c r="DE93" s="298">
        <v>994.78</v>
      </c>
      <c r="DF93" s="298">
        <v>1037.6600000000001</v>
      </c>
      <c r="DG93" s="298">
        <v>949.01</v>
      </c>
      <c r="DH93" s="298">
        <v>1110.22</v>
      </c>
      <c r="DI93" s="298">
        <v>984.47</v>
      </c>
      <c r="DJ93" s="298">
        <v>1222.2</v>
      </c>
      <c r="DK93" s="112" t="s">
        <v>87</v>
      </c>
    </row>
    <row r="94" spans="1:115" x14ac:dyDescent="0.4">
      <c r="A94" s="64" t="s">
        <v>88</v>
      </c>
      <c r="B94" s="80">
        <v>3090.37</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c r="BH94" s="66"/>
      <c r="BI94" s="66"/>
      <c r="BJ94" s="66"/>
      <c r="BK94" s="66"/>
      <c r="BL94" s="66"/>
      <c r="BM94" s="66"/>
      <c r="BN94" s="66"/>
      <c r="BO94" s="67"/>
      <c r="BP94" s="66">
        <v>15.64</v>
      </c>
      <c r="BQ94" s="67">
        <v>27.64</v>
      </c>
      <c r="BR94" s="66">
        <v>20.43</v>
      </c>
      <c r="BS94" s="67">
        <v>25.86</v>
      </c>
      <c r="BT94" s="66">
        <v>26.84</v>
      </c>
      <c r="BU94" s="67">
        <v>24.05</v>
      </c>
      <c r="BV94" s="66">
        <v>9.1300000000000008</v>
      </c>
      <c r="BW94" s="67">
        <v>80.260000000000005</v>
      </c>
      <c r="BX94" s="66">
        <v>30</v>
      </c>
      <c r="BY94" s="67">
        <v>27.6</v>
      </c>
      <c r="BZ94" s="66">
        <v>15.71</v>
      </c>
      <c r="CA94" s="67">
        <v>81.98</v>
      </c>
      <c r="CB94" s="66">
        <v>34.92</v>
      </c>
      <c r="CC94" s="67">
        <v>40.909999999999997</v>
      </c>
      <c r="CD94" s="66">
        <v>29.59</v>
      </c>
      <c r="CE94" s="67">
        <v>58.11</v>
      </c>
      <c r="CF94" s="66">
        <v>-8.98</v>
      </c>
      <c r="CG94" s="67">
        <v>-195.31</v>
      </c>
      <c r="CH94" s="66">
        <v>-78.180000000000007</v>
      </c>
      <c r="CI94" s="67">
        <v>-30.15</v>
      </c>
      <c r="CJ94" s="66">
        <v>-51.76</v>
      </c>
      <c r="CK94" s="67">
        <v>-49.99</v>
      </c>
      <c r="CL94" s="66">
        <v>-63.76</v>
      </c>
      <c r="CM94" s="67">
        <v>-48.76</v>
      </c>
      <c r="CN94" s="66">
        <v>20.82</v>
      </c>
      <c r="CO94" s="67">
        <v>196.2</v>
      </c>
      <c r="CP94" s="66">
        <v>52.01</v>
      </c>
      <c r="CQ94" s="67">
        <v>83.06</v>
      </c>
      <c r="CR94" s="66"/>
      <c r="CS94" s="67"/>
      <c r="CT94" s="66"/>
      <c r="CU94" s="67"/>
      <c r="CV94" s="67"/>
      <c r="CW94" s="304">
        <v>432.21943900000002</v>
      </c>
      <c r="CX94" s="304">
        <v>528.228252</v>
      </c>
      <c r="CY94" s="304">
        <v>645.648413465369</v>
      </c>
      <c r="CZ94" s="298">
        <v>732.64</v>
      </c>
      <c r="DA94" s="299">
        <v>828.04</v>
      </c>
      <c r="DB94" s="298">
        <v>1287.72</v>
      </c>
      <c r="DC94" s="298">
        <v>1428.29</v>
      </c>
      <c r="DD94" s="298">
        <v>1719.5</v>
      </c>
      <c r="DE94" s="298">
        <v>1752.93</v>
      </c>
      <c r="DF94" s="298">
        <v>2357.34</v>
      </c>
      <c r="DG94" s="298">
        <v>2587.64</v>
      </c>
      <c r="DH94" s="298">
        <v>3108.72</v>
      </c>
      <c r="DI94" s="298">
        <v>4085.24</v>
      </c>
      <c r="DJ94" s="298">
        <v>4320.55</v>
      </c>
      <c r="DK94" s="112" t="s">
        <v>88</v>
      </c>
    </row>
    <row r="95" spans="1:115" x14ac:dyDescent="0.4">
      <c r="A95" s="64" t="s">
        <v>89</v>
      </c>
      <c r="B95" s="80">
        <v>1371.61</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c r="BH95" s="66"/>
      <c r="BI95" s="66"/>
      <c r="BJ95" s="66"/>
      <c r="BK95" s="66"/>
      <c r="BL95" s="66"/>
      <c r="BM95" s="66"/>
      <c r="BN95" s="66"/>
      <c r="BO95" s="67"/>
      <c r="BP95" s="66">
        <v>15.29</v>
      </c>
      <c r="BQ95" s="67">
        <v>21.14</v>
      </c>
      <c r="BR95" s="66">
        <v>9.02</v>
      </c>
      <c r="BS95" s="67">
        <v>41.3</v>
      </c>
      <c r="BT95" s="66">
        <v>14.91</v>
      </c>
      <c r="BU95" s="67">
        <v>31.45</v>
      </c>
      <c r="BV95" s="66">
        <v>23.39</v>
      </c>
      <c r="BW95" s="67">
        <v>18.86</v>
      </c>
      <c r="BX95" s="66">
        <v>23.32</v>
      </c>
      <c r="BY95" s="67">
        <v>22.72</v>
      </c>
      <c r="BZ95" s="66">
        <v>29.72</v>
      </c>
      <c r="CA95" s="67">
        <v>25.1</v>
      </c>
      <c r="CB95" s="66">
        <v>25.27</v>
      </c>
      <c r="CC95" s="67">
        <v>30.02</v>
      </c>
      <c r="CD95" s="66">
        <v>23.1</v>
      </c>
      <c r="CE95" s="67">
        <v>30.78</v>
      </c>
      <c r="CF95" s="66">
        <v>21</v>
      </c>
      <c r="CG95" s="67">
        <v>43.42</v>
      </c>
      <c r="CH95" s="66">
        <v>39.14</v>
      </c>
      <c r="CI95" s="67">
        <v>27.05</v>
      </c>
      <c r="CJ95" s="66">
        <v>41.44</v>
      </c>
      <c r="CK95" s="67">
        <v>22.26</v>
      </c>
      <c r="CL95" s="66">
        <v>40.89</v>
      </c>
      <c r="CM95" s="67">
        <v>28.97</v>
      </c>
      <c r="CN95" s="66">
        <v>8.35</v>
      </c>
      <c r="CO95" s="67">
        <v>157.28</v>
      </c>
      <c r="CP95" s="66">
        <v>81.599999999999994</v>
      </c>
      <c r="CQ95" s="67">
        <v>20.100000000000001</v>
      </c>
      <c r="CR95" s="66"/>
      <c r="CS95" s="67"/>
      <c r="CT95" s="66"/>
      <c r="CU95" s="67"/>
      <c r="CV95" s="67"/>
      <c r="CW95" s="304">
        <v>323.26309500000002</v>
      </c>
      <c r="CX95" s="304">
        <v>372.565789</v>
      </c>
      <c r="CY95" s="304">
        <v>468.88068339173702</v>
      </c>
      <c r="CZ95" s="298">
        <v>441.05</v>
      </c>
      <c r="DA95" s="299">
        <v>529.85</v>
      </c>
      <c r="DB95" s="298">
        <v>746.08</v>
      </c>
      <c r="DC95" s="298">
        <v>758.61</v>
      </c>
      <c r="DD95" s="298">
        <v>711.08</v>
      </c>
      <c r="DE95" s="298">
        <v>911.68</v>
      </c>
      <c r="DF95" s="298">
        <v>1058.76</v>
      </c>
      <c r="DG95" s="298">
        <v>922.44</v>
      </c>
      <c r="DH95" s="298">
        <v>1184.56</v>
      </c>
      <c r="DI95" s="298">
        <v>1313.25</v>
      </c>
      <c r="DJ95" s="298">
        <v>1640.49</v>
      </c>
      <c r="DK95" s="112" t="s">
        <v>89</v>
      </c>
    </row>
    <row r="96" spans="1:115" x14ac:dyDescent="0.4">
      <c r="A96" s="64" t="s">
        <v>90</v>
      </c>
      <c r="B96" s="80">
        <v>1031.68</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3.54</v>
      </c>
      <c r="BH96" s="66"/>
      <c r="BI96" s="66"/>
      <c r="BJ96" s="66"/>
      <c r="BK96" s="66"/>
      <c r="BL96" s="66"/>
      <c r="BM96" s="66"/>
      <c r="BN96" s="66"/>
      <c r="BO96" s="67"/>
      <c r="BP96" s="66">
        <v>-4.45</v>
      </c>
      <c r="BQ96" s="67">
        <v>-30.81</v>
      </c>
      <c r="BR96" s="66">
        <v>-1.04</v>
      </c>
      <c r="BS96" s="67">
        <v>-194.79</v>
      </c>
      <c r="BT96" s="66">
        <v>10.37</v>
      </c>
      <c r="BU96" s="67">
        <v>24.29</v>
      </c>
      <c r="BV96" s="66">
        <v>7.74</v>
      </c>
      <c r="BW96" s="67">
        <v>31.16</v>
      </c>
      <c r="BX96" s="66">
        <v>4.4800000000000004</v>
      </c>
      <c r="BY96" s="67">
        <v>60.02</v>
      </c>
      <c r="BZ96" s="66">
        <v>9.33</v>
      </c>
      <c r="CA96" s="67">
        <v>41.61</v>
      </c>
      <c r="CB96" s="66">
        <v>8.1199999999999992</v>
      </c>
      <c r="CC96" s="67">
        <v>53.94</v>
      </c>
      <c r="CD96" s="66">
        <v>11.51</v>
      </c>
      <c r="CE96" s="67">
        <v>39.64</v>
      </c>
      <c r="CF96" s="66">
        <v>11.02</v>
      </c>
      <c r="CG96" s="67">
        <v>55.16</v>
      </c>
      <c r="CH96" s="66">
        <v>12.72</v>
      </c>
      <c r="CI96" s="67">
        <v>52.47</v>
      </c>
      <c r="CJ96" s="66">
        <v>12.35</v>
      </c>
      <c r="CK96" s="67">
        <v>48.98</v>
      </c>
      <c r="CL96" s="66">
        <v>7.91</v>
      </c>
      <c r="CM96" s="67">
        <v>106.25</v>
      </c>
      <c r="CN96" s="66">
        <v>-1.3</v>
      </c>
      <c r="CO96" s="67">
        <v>-825.32</v>
      </c>
      <c r="CP96" s="66">
        <v>27.06</v>
      </c>
      <c r="CQ96" s="67">
        <v>50.03</v>
      </c>
      <c r="CR96" s="66"/>
      <c r="CS96" s="67"/>
      <c r="CT96" s="66"/>
      <c r="CU96" s="67"/>
      <c r="CV96" s="67"/>
      <c r="CW96" s="304">
        <v>137.085894</v>
      </c>
      <c r="CX96" s="304">
        <v>202.58402699999999</v>
      </c>
      <c r="CY96" s="304">
        <v>251.92909297019099</v>
      </c>
      <c r="CZ96" s="298">
        <v>241.05</v>
      </c>
      <c r="DA96" s="299">
        <v>268.88</v>
      </c>
      <c r="DB96" s="298">
        <v>388.16</v>
      </c>
      <c r="DC96" s="298">
        <v>438.01</v>
      </c>
      <c r="DD96" s="298">
        <v>456.15</v>
      </c>
      <c r="DE96" s="298">
        <v>607.80999999999995</v>
      </c>
      <c r="DF96" s="298">
        <v>667.42</v>
      </c>
      <c r="DG96" s="298">
        <v>604.86</v>
      </c>
      <c r="DH96" s="298">
        <v>840.51</v>
      </c>
      <c r="DI96" s="298">
        <v>1070.06</v>
      </c>
      <c r="DJ96" s="298">
        <v>1353.92</v>
      </c>
      <c r="DK96" s="112" t="s">
        <v>90</v>
      </c>
    </row>
    <row r="97" spans="1:115" x14ac:dyDescent="0.4">
      <c r="A97" s="64" t="s">
        <v>91</v>
      </c>
      <c r="B97" s="80">
        <v>631.83000000000004</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6.77</v>
      </c>
      <c r="BH97" s="66"/>
      <c r="BI97" s="66"/>
      <c r="BJ97" s="66"/>
      <c r="BK97" s="66"/>
      <c r="BL97" s="66"/>
      <c r="BM97" s="66"/>
      <c r="BN97" s="66"/>
      <c r="BO97" s="67"/>
      <c r="BP97" s="66">
        <v>-15.88</v>
      </c>
      <c r="BQ97" s="67">
        <v>-10.57</v>
      </c>
      <c r="BR97" s="66">
        <v>3.94</v>
      </c>
      <c r="BS97" s="67">
        <v>62.33</v>
      </c>
      <c r="BT97" s="66">
        <v>12.93</v>
      </c>
      <c r="BU97" s="67">
        <v>22.25</v>
      </c>
      <c r="BV97" s="66">
        <v>10.19</v>
      </c>
      <c r="BW97" s="67">
        <v>25.66</v>
      </c>
      <c r="BX97" s="66">
        <v>2.81</v>
      </c>
      <c r="BY97" s="67">
        <v>115.32</v>
      </c>
      <c r="BZ97" s="66">
        <v>8.76</v>
      </c>
      <c r="CA97" s="67">
        <v>49.76</v>
      </c>
      <c r="CB97" s="66">
        <v>9.65</v>
      </c>
      <c r="CC97" s="67">
        <v>44.89</v>
      </c>
      <c r="CD97" s="66">
        <v>-4.0599999999999996</v>
      </c>
      <c r="CE97" s="67">
        <v>-78.3</v>
      </c>
      <c r="CF97" s="66">
        <v>5.38</v>
      </c>
      <c r="CG97" s="67">
        <v>90.22</v>
      </c>
      <c r="CH97" s="66">
        <v>22.44</v>
      </c>
      <c r="CI97" s="67">
        <v>23.55</v>
      </c>
      <c r="CJ97" s="66">
        <v>17.21</v>
      </c>
      <c r="CK97" s="67">
        <v>23.61</v>
      </c>
      <c r="CL97" s="66">
        <v>13.15</v>
      </c>
      <c r="CM97" s="67">
        <v>36.770000000000003</v>
      </c>
      <c r="CN97" s="66">
        <v>-10.49</v>
      </c>
      <c r="CO97" s="67">
        <v>-55.57</v>
      </c>
      <c r="CP97" s="66">
        <v>20.48</v>
      </c>
      <c r="CQ97" s="67">
        <v>33.43</v>
      </c>
      <c r="CR97" s="66"/>
      <c r="CS97" s="67"/>
      <c r="CT97" s="66"/>
      <c r="CU97" s="67"/>
      <c r="CV97" s="67"/>
      <c r="CW97" s="304">
        <v>167.886177</v>
      </c>
      <c r="CX97" s="304">
        <v>245.56984800000001</v>
      </c>
      <c r="CY97" s="304">
        <v>287.68724360763201</v>
      </c>
      <c r="CZ97" s="298">
        <v>261.44</v>
      </c>
      <c r="DA97" s="299">
        <v>324.22000000000003</v>
      </c>
      <c r="DB97" s="298">
        <v>436.1</v>
      </c>
      <c r="DC97" s="298">
        <v>433.19</v>
      </c>
      <c r="DD97" s="298">
        <v>317.93</v>
      </c>
      <c r="DE97" s="298">
        <v>485.75</v>
      </c>
      <c r="DF97" s="298">
        <v>528.41</v>
      </c>
      <c r="DG97" s="298">
        <v>406.33</v>
      </c>
      <c r="DH97" s="298">
        <v>483.58</v>
      </c>
      <c r="DI97" s="298">
        <v>583.08000000000004</v>
      </c>
      <c r="DJ97" s="298">
        <v>684.55</v>
      </c>
      <c r="DK97" s="112" t="s">
        <v>91</v>
      </c>
    </row>
    <row r="98" spans="1:115" x14ac:dyDescent="0.4">
      <c r="A98" s="64" t="s">
        <v>386</v>
      </c>
      <c r="B98" s="80">
        <v>3.27</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c r="BH98" s="66"/>
      <c r="BI98" s="66"/>
      <c r="BJ98" s="66"/>
      <c r="BK98" s="66"/>
      <c r="BL98" s="66"/>
      <c r="BM98" s="66"/>
      <c r="BN98" s="66"/>
      <c r="BO98" s="67"/>
      <c r="BP98" s="66">
        <v>-0.54</v>
      </c>
      <c r="BQ98" s="67">
        <v>-9.02</v>
      </c>
      <c r="BR98" s="66">
        <v>0</v>
      </c>
      <c r="BS98" s="67">
        <v>2.73</v>
      </c>
      <c r="BT98" s="66">
        <v>0.17</v>
      </c>
      <c r="BU98" s="67">
        <v>16.7</v>
      </c>
      <c r="BV98" s="66">
        <v>0.09</v>
      </c>
      <c r="BW98" s="67">
        <v>25.14</v>
      </c>
      <c r="BX98" s="66">
        <v>0.01</v>
      </c>
      <c r="BY98" s="67">
        <v>220.98</v>
      </c>
      <c r="BZ98" s="66">
        <v>0.01</v>
      </c>
      <c r="CA98" s="67">
        <v>269.49</v>
      </c>
      <c r="CB98" s="66">
        <v>7.0000000000000007E-2</v>
      </c>
      <c r="CC98" s="67">
        <v>33.159999999999997</v>
      </c>
      <c r="CD98" s="66">
        <v>0.16</v>
      </c>
      <c r="CE98" s="67">
        <v>15.93</v>
      </c>
      <c r="CF98" s="66">
        <v>0.08</v>
      </c>
      <c r="CG98" s="67">
        <v>37.99</v>
      </c>
      <c r="CH98" s="66">
        <v>-0.33</v>
      </c>
      <c r="CI98" s="67">
        <v>-8.59</v>
      </c>
      <c r="CJ98" s="66">
        <v>-0.17</v>
      </c>
      <c r="CK98" s="67">
        <v>-16.77</v>
      </c>
      <c r="CL98" s="66">
        <v>-1.24</v>
      </c>
      <c r="CM98" s="67">
        <v>-2.33</v>
      </c>
      <c r="CN98" s="66">
        <v>-0.12</v>
      </c>
      <c r="CO98" s="67">
        <v>-27.84</v>
      </c>
      <c r="CP98" s="66">
        <v>0</v>
      </c>
      <c r="CQ98" s="67">
        <v>1228.05</v>
      </c>
      <c r="CR98" s="66"/>
      <c r="CS98" s="67"/>
      <c r="CT98" s="66"/>
      <c r="CU98" s="67"/>
      <c r="CV98" s="67"/>
      <c r="CW98" s="304">
        <v>4.8689799999999996</v>
      </c>
      <c r="CX98" s="304">
        <v>2.733466</v>
      </c>
      <c r="CY98" s="304">
        <v>2.78718630060018</v>
      </c>
      <c r="CZ98" s="298">
        <v>2.35</v>
      </c>
      <c r="DA98" s="299">
        <v>2.42</v>
      </c>
      <c r="DB98" s="298">
        <v>2.54</v>
      </c>
      <c r="DC98" s="298">
        <v>2.46</v>
      </c>
      <c r="DD98" s="298">
        <v>2.4700000000000002</v>
      </c>
      <c r="DE98" s="298">
        <v>2.9</v>
      </c>
      <c r="DF98" s="298">
        <v>2.84</v>
      </c>
      <c r="DG98" s="298">
        <v>2.8</v>
      </c>
      <c r="DH98" s="298">
        <v>2.88</v>
      </c>
      <c r="DI98" s="298">
        <v>3.42</v>
      </c>
      <c r="DJ98" s="298">
        <v>4.3099999999999996</v>
      </c>
      <c r="DK98" s="112" t="s">
        <v>386</v>
      </c>
    </row>
    <row r="99" spans="1:115" x14ac:dyDescent="0.4">
      <c r="A99" s="64" t="s">
        <v>92</v>
      </c>
      <c r="B99" s="80">
        <v>1066.6099999999999</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c r="BI99" s="66"/>
      <c r="BJ99" s="66"/>
      <c r="BK99" s="66"/>
      <c r="BL99" s="66"/>
      <c r="BM99" s="66"/>
      <c r="BN99" s="66"/>
      <c r="BO99" s="67"/>
      <c r="BP99" s="66">
        <v>24.18</v>
      </c>
      <c r="BQ99" s="67">
        <v>15.56</v>
      </c>
      <c r="BR99" s="66">
        <v>24.04</v>
      </c>
      <c r="BS99" s="67">
        <v>15.93</v>
      </c>
      <c r="BT99" s="66">
        <v>26.38</v>
      </c>
      <c r="BU99" s="67">
        <v>16.5</v>
      </c>
      <c r="BV99" s="66">
        <v>29.43</v>
      </c>
      <c r="BW99" s="67">
        <v>16.989999999999998</v>
      </c>
      <c r="BX99" s="66">
        <v>28.97</v>
      </c>
      <c r="BY99" s="67">
        <v>16.75</v>
      </c>
      <c r="BZ99" s="66">
        <v>30.04</v>
      </c>
      <c r="CA99" s="67">
        <v>18.87</v>
      </c>
      <c r="CB99" s="66">
        <v>35.29</v>
      </c>
      <c r="CC99" s="67">
        <v>18.920000000000002</v>
      </c>
      <c r="CD99" s="66">
        <v>33.130000000000003</v>
      </c>
      <c r="CE99" s="67">
        <v>20.92</v>
      </c>
      <c r="CF99" s="66">
        <v>35.67</v>
      </c>
      <c r="CG99" s="67">
        <v>23.24</v>
      </c>
      <c r="CH99" s="66">
        <v>31.12</v>
      </c>
      <c r="CI99" s="67">
        <v>30.83</v>
      </c>
      <c r="CJ99" s="66">
        <v>32.79</v>
      </c>
      <c r="CK99" s="67">
        <v>28.32</v>
      </c>
      <c r="CL99" s="66">
        <v>40.32</v>
      </c>
      <c r="CM99" s="67">
        <v>27.61</v>
      </c>
      <c r="CN99" s="66">
        <v>37.44</v>
      </c>
      <c r="CO99" s="67">
        <v>25.78</v>
      </c>
      <c r="CP99" s="66">
        <v>39.56</v>
      </c>
      <c r="CQ99" s="67">
        <v>29.91</v>
      </c>
      <c r="CR99" s="66"/>
      <c r="CS99" s="67"/>
      <c r="CT99" s="66"/>
      <c r="CU99" s="67"/>
      <c r="CV99" s="67"/>
      <c r="CW99" s="304">
        <v>376.25567999999998</v>
      </c>
      <c r="CX99" s="304">
        <v>382.95429799999999</v>
      </c>
      <c r="CY99" s="304">
        <v>435.23831515996199</v>
      </c>
      <c r="CZ99" s="298">
        <v>500.03</v>
      </c>
      <c r="DA99" s="299">
        <v>485.39</v>
      </c>
      <c r="DB99" s="298">
        <v>566.92999999999995</v>
      </c>
      <c r="DC99" s="298">
        <v>667.54</v>
      </c>
      <c r="DD99" s="298">
        <v>693.15</v>
      </c>
      <c r="DE99" s="298">
        <v>828.85</v>
      </c>
      <c r="DF99" s="298">
        <v>959.55</v>
      </c>
      <c r="DG99" s="298">
        <v>928.45</v>
      </c>
      <c r="DH99" s="298">
        <v>1113.3599999999999</v>
      </c>
      <c r="DI99" s="298">
        <v>965</v>
      </c>
      <c r="DJ99" s="298">
        <v>1183.1600000000001</v>
      </c>
      <c r="DK99" s="112" t="s">
        <v>92</v>
      </c>
    </row>
    <row r="100" spans="1:115" x14ac:dyDescent="0.4">
      <c r="A100" s="64" t="s">
        <v>312</v>
      </c>
      <c r="B100" s="80">
        <v>176.34</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c r="BI100" s="66"/>
      <c r="BJ100" s="66"/>
      <c r="BK100" s="66"/>
      <c r="BL100" s="66"/>
      <c r="BM100" s="66"/>
      <c r="BN100" s="66"/>
      <c r="BO100" s="67"/>
      <c r="BQ100" s="67"/>
      <c r="BS100" s="67"/>
      <c r="BU100" s="67"/>
      <c r="BW100" s="67"/>
      <c r="BY100" s="67"/>
      <c r="BZ100" s="66">
        <v>4.13</v>
      </c>
      <c r="CA100" s="67">
        <v>38</v>
      </c>
      <c r="CB100" s="66">
        <v>6.15</v>
      </c>
      <c r="CC100" s="67">
        <v>29.93</v>
      </c>
      <c r="CD100" s="66">
        <v>4.3099999999999996</v>
      </c>
      <c r="CE100" s="67">
        <v>39.049999999999997</v>
      </c>
      <c r="CF100" s="66">
        <v>6.91</v>
      </c>
      <c r="CG100" s="67">
        <v>29.08</v>
      </c>
      <c r="CH100" s="66">
        <v>5.89</v>
      </c>
      <c r="CI100" s="67">
        <v>34.51</v>
      </c>
      <c r="CJ100" s="66">
        <v>4.4000000000000004</v>
      </c>
      <c r="CK100" s="67">
        <v>38.869999999999997</v>
      </c>
      <c r="CL100" s="66">
        <v>5.9</v>
      </c>
      <c r="CM100" s="67">
        <v>34.92</v>
      </c>
      <c r="CN100" s="66">
        <v>-3.69</v>
      </c>
      <c r="CO100" s="67">
        <v>-48.1</v>
      </c>
      <c r="CP100" s="66">
        <v>3.95</v>
      </c>
      <c r="CQ100" s="67">
        <v>56.78</v>
      </c>
      <c r="CR100" s="66"/>
      <c r="CS100" s="67"/>
      <c r="CT100" s="66"/>
      <c r="CU100" s="67"/>
      <c r="CV100" s="67"/>
      <c r="CW100" s="304"/>
      <c r="CX100" s="304"/>
      <c r="CY100" s="304"/>
      <c r="DB100" s="298"/>
      <c r="DC100" s="298"/>
      <c r="DD100" s="298"/>
      <c r="DE100" s="298">
        <v>201.01</v>
      </c>
      <c r="DF100" s="298">
        <v>203.41</v>
      </c>
      <c r="DG100" s="298">
        <v>171.09</v>
      </c>
      <c r="DH100" s="298">
        <v>206.13</v>
      </c>
      <c r="DI100" s="298">
        <v>177.5</v>
      </c>
      <c r="DJ100" s="298">
        <v>224.12</v>
      </c>
      <c r="DK100" s="112" t="s">
        <v>510</v>
      </c>
    </row>
    <row r="101" spans="1:115" s="102" customFormat="1" x14ac:dyDescent="0.4">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1"/>
      <c r="BP101" s="100"/>
      <c r="BQ101" s="101"/>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67"/>
      <c r="CW101" s="101"/>
      <c r="CX101" s="101"/>
      <c r="CY101" s="101"/>
      <c r="CZ101" s="298"/>
      <c r="DA101" s="299"/>
      <c r="DB101" s="298"/>
      <c r="DC101" s="298"/>
      <c r="DD101" s="298"/>
      <c r="DE101" s="298"/>
      <c r="DF101" s="298"/>
      <c r="DG101" s="298"/>
      <c r="DH101" s="298"/>
      <c r="DI101" s="298"/>
      <c r="DJ101" s="298"/>
      <c r="DK101" s="112"/>
    </row>
    <row r="102" spans="1:115" s="102" customFormat="1" x14ac:dyDescent="0.4">
      <c r="A102" s="64" t="s">
        <v>159</v>
      </c>
      <c r="B102" s="80">
        <v>896.87</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10.77</v>
      </c>
      <c r="BH102" s="100"/>
      <c r="BI102" s="100"/>
      <c r="BJ102" s="100"/>
      <c r="BK102" s="100"/>
      <c r="BL102" s="100"/>
      <c r="BM102" s="100"/>
      <c r="BN102" s="100"/>
      <c r="BO102" s="101"/>
      <c r="BP102" s="100">
        <v>2.95</v>
      </c>
      <c r="BQ102" s="101">
        <v>69.47</v>
      </c>
      <c r="BR102" s="100">
        <v>10.92</v>
      </c>
      <c r="BS102" s="101">
        <v>23.33</v>
      </c>
      <c r="BT102" s="100">
        <v>17.12</v>
      </c>
      <c r="BU102" s="101">
        <v>16.989999999999998</v>
      </c>
      <c r="BV102" s="100">
        <v>19.23</v>
      </c>
      <c r="BW102" s="101">
        <v>15.08</v>
      </c>
      <c r="BX102" s="100">
        <v>19.27</v>
      </c>
      <c r="BY102" s="101">
        <v>17.12</v>
      </c>
      <c r="BZ102" s="100">
        <v>22.38</v>
      </c>
      <c r="CA102" s="101">
        <v>19.18</v>
      </c>
      <c r="CB102" s="100">
        <v>22.68</v>
      </c>
      <c r="CC102" s="101">
        <v>20.98</v>
      </c>
      <c r="CD102" s="100">
        <v>18.850000000000001</v>
      </c>
      <c r="CE102" s="101">
        <v>24.99</v>
      </c>
      <c r="CF102" s="100">
        <v>21.17</v>
      </c>
      <c r="CG102" s="101">
        <v>24.61</v>
      </c>
      <c r="CH102" s="100">
        <v>24.94</v>
      </c>
      <c r="CI102" s="101">
        <v>24.82</v>
      </c>
      <c r="CJ102" s="100">
        <v>29.7</v>
      </c>
      <c r="CK102" s="101">
        <v>19.43</v>
      </c>
      <c r="CL102" s="100">
        <v>30.9</v>
      </c>
      <c r="CM102" s="101">
        <v>23.97</v>
      </c>
      <c r="CN102" s="100">
        <v>19.95</v>
      </c>
      <c r="CO102" s="101">
        <v>43</v>
      </c>
      <c r="CP102" s="100">
        <v>45.65</v>
      </c>
      <c r="CQ102" s="101">
        <v>23.8</v>
      </c>
      <c r="CR102" s="100"/>
      <c r="CS102" s="101"/>
      <c r="CT102" s="100"/>
      <c r="CU102" s="101"/>
      <c r="CV102" s="67"/>
      <c r="CW102" s="101">
        <v>204.93180699999999</v>
      </c>
      <c r="CX102" s="101">
        <v>254.78577403963399</v>
      </c>
      <c r="CY102" s="101">
        <v>290.88647527357602</v>
      </c>
      <c r="CZ102" s="298">
        <v>290.12</v>
      </c>
      <c r="DA102" s="299">
        <v>329.78</v>
      </c>
      <c r="DB102" s="298">
        <v>429.1</v>
      </c>
      <c r="DC102" s="298">
        <v>475.8</v>
      </c>
      <c r="DD102" s="298">
        <v>470.91</v>
      </c>
      <c r="DE102" s="298">
        <v>521.04</v>
      </c>
      <c r="DF102" s="298">
        <v>618.99</v>
      </c>
      <c r="DG102" s="298">
        <v>577.11</v>
      </c>
      <c r="DH102" s="298">
        <v>740.69</v>
      </c>
      <c r="DI102" s="298">
        <v>857.79</v>
      </c>
      <c r="DJ102" s="298">
        <v>1086.44</v>
      </c>
      <c r="DK102" s="112" t="s">
        <v>159</v>
      </c>
    </row>
    <row r="103" spans="1:115" s="102" customFormat="1" x14ac:dyDescent="0.4">
      <c r="A103" s="64" t="s">
        <v>160</v>
      </c>
      <c r="B103" s="80">
        <v>1039.44</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2.36</v>
      </c>
      <c r="BH103" s="100"/>
      <c r="BI103" s="100"/>
      <c r="BJ103" s="100"/>
      <c r="BK103" s="100"/>
      <c r="BL103" s="100"/>
      <c r="BM103" s="100"/>
      <c r="BN103" s="100"/>
      <c r="BO103" s="101"/>
      <c r="BP103" s="100">
        <v>-12.77</v>
      </c>
      <c r="BQ103" s="101">
        <v>-12.32</v>
      </c>
      <c r="BR103" s="100">
        <v>9.32</v>
      </c>
      <c r="BS103" s="101">
        <v>23.82</v>
      </c>
      <c r="BT103" s="100">
        <v>15.14</v>
      </c>
      <c r="BU103" s="101">
        <v>18.59</v>
      </c>
      <c r="BV103" s="100">
        <v>20.04</v>
      </c>
      <c r="BW103" s="101">
        <v>14.56</v>
      </c>
      <c r="BX103" s="100">
        <v>19.510000000000002</v>
      </c>
      <c r="BY103" s="101">
        <v>18.239999999999998</v>
      </c>
      <c r="BZ103" s="100">
        <v>22.6</v>
      </c>
      <c r="CA103" s="101">
        <v>22.24</v>
      </c>
      <c r="CB103" s="100">
        <v>24.96</v>
      </c>
      <c r="CC103" s="101">
        <v>21.75</v>
      </c>
      <c r="CD103" s="100">
        <v>25.54</v>
      </c>
      <c r="CE103" s="101">
        <v>22.59</v>
      </c>
      <c r="CF103" s="100">
        <v>27.43</v>
      </c>
      <c r="CG103" s="101">
        <v>22.08</v>
      </c>
      <c r="CH103" s="100">
        <v>34.229999999999997</v>
      </c>
      <c r="CI103" s="101">
        <v>21.37</v>
      </c>
      <c r="CJ103" s="100">
        <v>30.65</v>
      </c>
      <c r="CK103" s="101">
        <v>23.32</v>
      </c>
      <c r="CL103" s="100">
        <v>33.07</v>
      </c>
      <c r="CM103" s="101">
        <v>27.17</v>
      </c>
      <c r="CN103" s="100">
        <v>16.899999999999999</v>
      </c>
      <c r="CO103" s="101">
        <v>70.010000000000005</v>
      </c>
      <c r="CP103" s="100">
        <v>47.2</v>
      </c>
      <c r="CQ103" s="101">
        <v>31.18</v>
      </c>
      <c r="CR103" s="100"/>
      <c r="CS103" s="101"/>
      <c r="CT103" s="100"/>
      <c r="CU103" s="101"/>
      <c r="CV103" s="67"/>
      <c r="CW103" s="101">
        <v>157.30288400000001</v>
      </c>
      <c r="CX103" s="101">
        <v>221.96467321973699</v>
      </c>
      <c r="CY103" s="101">
        <v>281.44054270377598</v>
      </c>
      <c r="CZ103" s="298">
        <v>291.89999999999998</v>
      </c>
      <c r="DA103" s="299">
        <v>355.82</v>
      </c>
      <c r="DB103" s="298">
        <v>502.69</v>
      </c>
      <c r="DC103" s="298">
        <v>543.08000000000004</v>
      </c>
      <c r="DD103" s="298">
        <v>576.91999999999996</v>
      </c>
      <c r="DE103" s="298">
        <v>605.63</v>
      </c>
      <c r="DF103" s="298">
        <v>731.48</v>
      </c>
      <c r="DG103" s="298">
        <v>714.82</v>
      </c>
      <c r="DH103" s="298">
        <v>898.45</v>
      </c>
      <c r="DI103" s="298">
        <v>1182.83</v>
      </c>
      <c r="DJ103" s="298">
        <v>1471.91</v>
      </c>
      <c r="DK103" s="112" t="s">
        <v>160</v>
      </c>
    </row>
    <row r="104" spans="1:115" s="102" customFormat="1" x14ac:dyDescent="0.4">
      <c r="A104" s="64" t="s">
        <v>161</v>
      </c>
      <c r="B104" s="80">
        <v>831.31</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9.93</v>
      </c>
      <c r="BH104" s="100"/>
      <c r="BI104" s="100"/>
      <c r="BJ104" s="100"/>
      <c r="BK104" s="100"/>
      <c r="BL104" s="100"/>
      <c r="BM104" s="100"/>
      <c r="BN104" s="100"/>
      <c r="BO104" s="101"/>
      <c r="BP104" s="100">
        <v>14.5</v>
      </c>
      <c r="BQ104" s="101">
        <v>17.52</v>
      </c>
      <c r="BR104" s="100">
        <v>16.89</v>
      </c>
      <c r="BS104" s="101">
        <v>16.8</v>
      </c>
      <c r="BT104" s="100">
        <v>19.690000000000001</v>
      </c>
      <c r="BU104" s="101">
        <v>16.03</v>
      </c>
      <c r="BV104" s="100">
        <v>19.649999999999999</v>
      </c>
      <c r="BW104" s="101">
        <v>17.8</v>
      </c>
      <c r="BX104" s="100">
        <v>21.77</v>
      </c>
      <c r="BY104" s="101">
        <v>17.32</v>
      </c>
      <c r="BZ104" s="100">
        <v>23.6</v>
      </c>
      <c r="CA104" s="101">
        <v>19.71</v>
      </c>
      <c r="CB104" s="100">
        <v>21.93</v>
      </c>
      <c r="CC104" s="101">
        <v>24.07</v>
      </c>
      <c r="CD104" s="100">
        <v>23.2</v>
      </c>
      <c r="CE104" s="101">
        <v>23.54</v>
      </c>
      <c r="CF104" s="100">
        <v>27.37</v>
      </c>
      <c r="CG104" s="101">
        <v>20.57</v>
      </c>
      <c r="CH104" s="100">
        <v>26.62</v>
      </c>
      <c r="CI104" s="101">
        <v>23.3</v>
      </c>
      <c r="CJ104" s="100">
        <v>26.7</v>
      </c>
      <c r="CK104" s="101">
        <v>20.66</v>
      </c>
      <c r="CL104" s="100">
        <v>22.71</v>
      </c>
      <c r="CM104" s="101">
        <v>29.99</v>
      </c>
      <c r="CN104" s="100">
        <v>27.41</v>
      </c>
      <c r="CO104" s="101">
        <v>26.84</v>
      </c>
      <c r="CP104" s="100">
        <v>31.75</v>
      </c>
      <c r="CQ104" s="101">
        <v>26.76</v>
      </c>
      <c r="CR104" s="100"/>
      <c r="CS104" s="101"/>
      <c r="CT104" s="100"/>
      <c r="CU104" s="101"/>
      <c r="CV104" s="67"/>
      <c r="CW104" s="101">
        <v>253.99034599999999</v>
      </c>
      <c r="CX104" s="101">
        <v>283.69700322462802</v>
      </c>
      <c r="CY104" s="101">
        <v>315.59918175809997</v>
      </c>
      <c r="CZ104" s="298">
        <v>349.81</v>
      </c>
      <c r="DA104" s="299">
        <v>377.01</v>
      </c>
      <c r="DB104" s="298">
        <v>465.29</v>
      </c>
      <c r="DC104" s="298">
        <v>527.99</v>
      </c>
      <c r="DD104" s="298">
        <v>545.97</v>
      </c>
      <c r="DE104" s="298">
        <v>562.89</v>
      </c>
      <c r="DF104" s="298">
        <v>620.03</v>
      </c>
      <c r="DG104" s="298">
        <v>551.64</v>
      </c>
      <c r="DH104" s="298">
        <v>680.96</v>
      </c>
      <c r="DI104" s="298">
        <v>735.68</v>
      </c>
      <c r="DJ104" s="298">
        <v>849.7</v>
      </c>
      <c r="DK104" s="112" t="s">
        <v>161</v>
      </c>
    </row>
    <row r="105" spans="1:115" s="102" customFormat="1" x14ac:dyDescent="0.4">
      <c r="A105" s="64" t="s">
        <v>162</v>
      </c>
      <c r="B105" s="80">
        <v>589.46</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10.47</v>
      </c>
      <c r="BH105" s="100"/>
      <c r="BI105" s="100"/>
      <c r="BJ105" s="100"/>
      <c r="BK105" s="100"/>
      <c r="BL105" s="100"/>
      <c r="BM105" s="100"/>
      <c r="BN105" s="100"/>
      <c r="BO105" s="101"/>
      <c r="BP105" s="100">
        <v>34.17</v>
      </c>
      <c r="BQ105" s="101">
        <v>11.68</v>
      </c>
      <c r="BR105" s="100">
        <v>15.32</v>
      </c>
      <c r="BS105" s="101">
        <v>29.68</v>
      </c>
      <c r="BT105" s="100">
        <v>36.799999999999997</v>
      </c>
      <c r="BU105" s="101">
        <v>14.69</v>
      </c>
      <c r="BV105" s="100">
        <v>46.45</v>
      </c>
      <c r="BW105" s="101">
        <v>11.88</v>
      </c>
      <c r="BX105" s="100">
        <v>44.71</v>
      </c>
      <c r="BY105" s="101">
        <v>12.61</v>
      </c>
      <c r="BZ105" s="100">
        <v>42.49</v>
      </c>
      <c r="CA105" s="101">
        <v>16.27</v>
      </c>
      <c r="CB105" s="100">
        <v>35</v>
      </c>
      <c r="CC105" s="101">
        <v>17.54</v>
      </c>
      <c r="CD105" s="100">
        <v>-32.11</v>
      </c>
      <c r="CE105" s="101">
        <v>-14.45</v>
      </c>
      <c r="CF105" s="100">
        <v>-16.440000000000001</v>
      </c>
      <c r="CG105" s="101">
        <v>-34.9</v>
      </c>
      <c r="CH105" s="100">
        <v>16.989999999999998</v>
      </c>
      <c r="CI105" s="101">
        <v>32.19</v>
      </c>
      <c r="CJ105" s="100">
        <v>24.03</v>
      </c>
      <c r="CK105" s="101">
        <v>17.86</v>
      </c>
      <c r="CL105" s="100">
        <v>1.04</v>
      </c>
      <c r="CM105" s="101">
        <v>438.48</v>
      </c>
      <c r="CN105" s="100">
        <v>-58.09</v>
      </c>
      <c r="CO105" s="101">
        <v>-4.91</v>
      </c>
      <c r="CP105" s="100">
        <v>26.16</v>
      </c>
      <c r="CQ105" s="101">
        <v>16.21</v>
      </c>
      <c r="CR105" s="100"/>
      <c r="CS105" s="101"/>
      <c r="CT105" s="100"/>
      <c r="CU105" s="101"/>
      <c r="CV105" s="67"/>
      <c r="CW105" s="101">
        <v>399.124324</v>
      </c>
      <c r="CX105" s="101">
        <v>454.72875056943002</v>
      </c>
      <c r="CY105" s="101">
        <v>540.64938728528705</v>
      </c>
      <c r="CZ105" s="298">
        <v>551.87</v>
      </c>
      <c r="DA105" s="299">
        <v>563.64</v>
      </c>
      <c r="DB105" s="298">
        <v>691.56</v>
      </c>
      <c r="DC105" s="298">
        <v>613.71</v>
      </c>
      <c r="DD105" s="298">
        <v>463.95</v>
      </c>
      <c r="DE105" s="298">
        <v>573.98</v>
      </c>
      <c r="DF105" s="298">
        <v>546.99</v>
      </c>
      <c r="DG105" s="298">
        <v>429.19</v>
      </c>
      <c r="DH105" s="298">
        <v>455.33</v>
      </c>
      <c r="DI105" s="298">
        <v>285.42</v>
      </c>
      <c r="DJ105" s="298">
        <v>424.09</v>
      </c>
      <c r="DK105" s="112" t="s">
        <v>162</v>
      </c>
    </row>
    <row r="106" spans="1:115" s="102" customFormat="1" x14ac:dyDescent="0.4">
      <c r="A106" s="64" t="s">
        <v>163</v>
      </c>
      <c r="B106" s="80">
        <v>599.80999999999995</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11.66</v>
      </c>
      <c r="BH106" s="100"/>
      <c r="BI106" s="100"/>
      <c r="BJ106" s="100"/>
      <c r="BK106" s="100"/>
      <c r="BL106" s="100"/>
      <c r="BM106" s="100"/>
      <c r="BN106" s="100"/>
      <c r="BO106" s="101"/>
      <c r="BP106" s="100">
        <v>-35.880000000000003</v>
      </c>
      <c r="BQ106" s="101">
        <v>-5.24</v>
      </c>
      <c r="BR106" s="100">
        <v>2.83</v>
      </c>
      <c r="BS106" s="101">
        <v>74.900000000000006</v>
      </c>
      <c r="BT106" s="100">
        <v>13.07</v>
      </c>
      <c r="BU106" s="101">
        <v>18.12</v>
      </c>
      <c r="BV106" s="100">
        <v>14.54</v>
      </c>
      <c r="BW106" s="101">
        <v>13.58</v>
      </c>
      <c r="BX106" s="100">
        <v>16.46</v>
      </c>
      <c r="BY106" s="101">
        <v>14.9</v>
      </c>
      <c r="BZ106" s="100">
        <v>19.89</v>
      </c>
      <c r="CA106" s="101">
        <v>16.239999999999998</v>
      </c>
      <c r="CB106" s="100">
        <v>20.41</v>
      </c>
      <c r="CC106" s="101">
        <v>17.82</v>
      </c>
      <c r="CD106" s="100">
        <v>22.84</v>
      </c>
      <c r="CE106" s="101">
        <v>15.47</v>
      </c>
      <c r="CF106" s="100">
        <v>24.76</v>
      </c>
      <c r="CG106" s="101">
        <v>17.34</v>
      </c>
      <c r="CH106" s="100">
        <v>27.4</v>
      </c>
      <c r="CI106" s="101">
        <v>18.61</v>
      </c>
      <c r="CJ106" s="100">
        <v>33.36</v>
      </c>
      <c r="CK106" s="101">
        <v>13.04</v>
      </c>
      <c r="CL106" s="100">
        <v>46.02</v>
      </c>
      <c r="CM106" s="101">
        <v>12.12</v>
      </c>
      <c r="CN106" s="100">
        <v>30.69</v>
      </c>
      <c r="CO106" s="101">
        <v>17.39</v>
      </c>
      <c r="CP106" s="100">
        <v>63.13</v>
      </c>
      <c r="CQ106" s="101">
        <v>11.16</v>
      </c>
      <c r="CR106" s="100"/>
      <c r="CS106" s="101"/>
      <c r="CT106" s="100"/>
      <c r="CU106" s="101"/>
      <c r="CV106" s="67"/>
      <c r="CW106" s="101">
        <v>187.99776499999999</v>
      </c>
      <c r="CX106" s="101">
        <v>211.96466059482</v>
      </c>
      <c r="CY106" s="101">
        <v>236.71917825364301</v>
      </c>
      <c r="CZ106" s="298">
        <v>197.47</v>
      </c>
      <c r="DA106" s="299">
        <v>245.32</v>
      </c>
      <c r="DB106" s="298">
        <v>322.92</v>
      </c>
      <c r="DC106" s="298">
        <v>363.69</v>
      </c>
      <c r="DD106" s="298">
        <v>353.45</v>
      </c>
      <c r="DE106" s="298">
        <v>429.46</v>
      </c>
      <c r="DF106" s="298">
        <v>509.92</v>
      </c>
      <c r="DG106" s="298">
        <v>435.01</v>
      </c>
      <c r="DH106" s="298">
        <v>557.87</v>
      </c>
      <c r="DI106" s="298">
        <v>533.52</v>
      </c>
      <c r="DJ106" s="298">
        <v>704.27</v>
      </c>
      <c r="DK106" s="112" t="s">
        <v>163</v>
      </c>
    </row>
    <row r="107" spans="1:115" s="102" customFormat="1" x14ac:dyDescent="0.4">
      <c r="A107" s="64" t="s">
        <v>164</v>
      </c>
      <c r="B107" s="80">
        <v>1532.51</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17.940000000000001</v>
      </c>
      <c r="BH107" s="100"/>
      <c r="BI107" s="100"/>
      <c r="BJ107" s="100"/>
      <c r="BK107" s="100"/>
      <c r="BL107" s="100"/>
      <c r="BM107" s="100"/>
      <c r="BN107" s="100"/>
      <c r="BO107" s="101"/>
      <c r="BP107" s="100">
        <v>18.22</v>
      </c>
      <c r="BQ107" s="101">
        <v>16.82</v>
      </c>
      <c r="BR107" s="100">
        <v>23.76</v>
      </c>
      <c r="BS107" s="101">
        <v>15.26</v>
      </c>
      <c r="BT107" s="100">
        <v>21.67</v>
      </c>
      <c r="BU107" s="101">
        <v>17.27</v>
      </c>
      <c r="BV107" s="100">
        <v>24.63</v>
      </c>
      <c r="BW107" s="101">
        <v>16.649999999999999</v>
      </c>
      <c r="BX107" s="100">
        <v>24.74</v>
      </c>
      <c r="BY107" s="101">
        <v>19.21</v>
      </c>
      <c r="BZ107" s="100">
        <v>26.55</v>
      </c>
      <c r="CA107" s="101">
        <v>25</v>
      </c>
      <c r="CB107" s="100">
        <v>31.31</v>
      </c>
      <c r="CC107" s="101">
        <v>26.06</v>
      </c>
      <c r="CD107" s="100">
        <v>31.69</v>
      </c>
      <c r="CE107" s="101">
        <v>27.25</v>
      </c>
      <c r="CF107" s="100">
        <v>34.26</v>
      </c>
      <c r="CG107" s="101">
        <v>24.28</v>
      </c>
      <c r="CH107" s="100">
        <v>28.47</v>
      </c>
      <c r="CI107" s="101">
        <v>35.22</v>
      </c>
      <c r="CJ107" s="100">
        <v>36.61</v>
      </c>
      <c r="CK107" s="101">
        <v>28.76</v>
      </c>
      <c r="CL107" s="100">
        <v>46.4</v>
      </c>
      <c r="CM107" s="101">
        <v>26.98</v>
      </c>
      <c r="CN107" s="100">
        <v>42.17</v>
      </c>
      <c r="CO107" s="101">
        <v>33.43</v>
      </c>
      <c r="CP107" s="100">
        <v>69.08</v>
      </c>
      <c r="CQ107" s="101">
        <v>25.11</v>
      </c>
      <c r="CR107" s="100"/>
      <c r="CS107" s="101"/>
      <c r="CT107" s="100"/>
      <c r="CU107" s="101"/>
      <c r="CV107" s="67"/>
      <c r="CW107" s="101">
        <v>306.441464</v>
      </c>
      <c r="CX107" s="101">
        <v>362.62085543049</v>
      </c>
      <c r="CY107" s="101">
        <v>374.18163178383003</v>
      </c>
      <c r="CZ107" s="298">
        <v>410.14</v>
      </c>
      <c r="DA107" s="299">
        <v>475.27</v>
      </c>
      <c r="DB107" s="298">
        <v>663.81</v>
      </c>
      <c r="DC107" s="298">
        <v>815.87</v>
      </c>
      <c r="DD107" s="298">
        <v>863.43</v>
      </c>
      <c r="DE107" s="298">
        <v>832.05</v>
      </c>
      <c r="DF107" s="298">
        <v>1002.7</v>
      </c>
      <c r="DG107" s="298">
        <v>1053.1600000000001</v>
      </c>
      <c r="DH107" s="298">
        <v>1251.68</v>
      </c>
      <c r="DI107" s="298">
        <v>1409.79</v>
      </c>
      <c r="DJ107" s="298">
        <v>1734.44</v>
      </c>
      <c r="DK107" s="112" t="s">
        <v>164</v>
      </c>
    </row>
    <row r="108" spans="1:115" s="102" customFormat="1" x14ac:dyDescent="0.4">
      <c r="A108" s="64" t="s">
        <v>165</v>
      </c>
      <c r="B108" s="80">
        <v>840.03</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7.85</v>
      </c>
      <c r="BH108" s="100"/>
      <c r="BI108" s="100"/>
      <c r="BJ108" s="100"/>
      <c r="BK108" s="100"/>
      <c r="BL108" s="100"/>
      <c r="BM108" s="100"/>
      <c r="BN108" s="100"/>
      <c r="BO108" s="101"/>
      <c r="BP108" s="100">
        <v>16.66</v>
      </c>
      <c r="BQ108" s="101">
        <v>12.83</v>
      </c>
      <c r="BR108" s="100">
        <v>11.96</v>
      </c>
      <c r="BS108" s="101">
        <v>21.15</v>
      </c>
      <c r="BT108" s="100">
        <v>17.07</v>
      </c>
      <c r="BU108" s="101">
        <v>18.48</v>
      </c>
      <c r="BV108" s="100">
        <v>20.28</v>
      </c>
      <c r="BW108" s="101">
        <v>15.09</v>
      </c>
      <c r="BX108" s="100">
        <v>20.7</v>
      </c>
      <c r="BY108" s="101">
        <v>16.829999999999998</v>
      </c>
      <c r="BZ108" s="100">
        <v>26.13</v>
      </c>
      <c r="CA108" s="101">
        <v>18.45</v>
      </c>
      <c r="CB108" s="100">
        <v>25.63</v>
      </c>
      <c r="CC108" s="101">
        <v>20.02</v>
      </c>
      <c r="CD108" s="100">
        <v>23.53</v>
      </c>
      <c r="CE108" s="101">
        <v>20.77</v>
      </c>
      <c r="CF108" s="100">
        <v>25.33</v>
      </c>
      <c r="CG108" s="101">
        <v>22.74</v>
      </c>
      <c r="CH108" s="100">
        <v>28.59</v>
      </c>
      <c r="CI108" s="101">
        <v>23.92</v>
      </c>
      <c r="CJ108" s="100">
        <v>28.98</v>
      </c>
      <c r="CK108" s="101">
        <v>20.059999999999999</v>
      </c>
      <c r="CL108" s="100">
        <v>30.77</v>
      </c>
      <c r="CM108" s="101">
        <v>24.08</v>
      </c>
      <c r="CN108" s="100">
        <v>11.97</v>
      </c>
      <c r="CO108" s="101">
        <v>67.95</v>
      </c>
      <c r="CP108" s="100">
        <v>35.770000000000003</v>
      </c>
      <c r="CQ108" s="101">
        <v>27.42</v>
      </c>
      <c r="CR108" s="100"/>
      <c r="CS108" s="101"/>
      <c r="CT108" s="100"/>
      <c r="CU108" s="101"/>
      <c r="CV108" s="67"/>
      <c r="CW108" s="101">
        <v>213.73174499999999</v>
      </c>
      <c r="CX108" s="101">
        <v>252.96700092362499</v>
      </c>
      <c r="CY108" s="101">
        <v>315.41173690856698</v>
      </c>
      <c r="CZ108" s="298">
        <v>306.02999999999997</v>
      </c>
      <c r="DA108" s="299">
        <v>348.35</v>
      </c>
      <c r="DB108" s="298">
        <v>482.23</v>
      </c>
      <c r="DC108" s="298">
        <v>513.05999999999995</v>
      </c>
      <c r="DD108" s="298">
        <v>488.83</v>
      </c>
      <c r="DE108" s="298">
        <v>575.83000000000004</v>
      </c>
      <c r="DF108" s="298">
        <v>683.83</v>
      </c>
      <c r="DG108" s="298">
        <v>581.53</v>
      </c>
      <c r="DH108" s="298">
        <v>741</v>
      </c>
      <c r="DI108" s="298">
        <v>813.28</v>
      </c>
      <c r="DJ108" s="298">
        <v>980.62</v>
      </c>
      <c r="DK108" s="112" t="s">
        <v>165</v>
      </c>
    </row>
    <row r="109" spans="1:115" s="102" customFormat="1" x14ac:dyDescent="0.4">
      <c r="A109" s="64" t="s">
        <v>166</v>
      </c>
      <c r="B109" s="80">
        <v>2343.7800000000002</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25.07</v>
      </c>
      <c r="BH109" s="100"/>
      <c r="BI109" s="100"/>
      <c r="BJ109" s="100"/>
      <c r="BK109" s="100"/>
      <c r="BL109" s="100"/>
      <c r="BM109" s="100"/>
      <c r="BN109" s="100"/>
      <c r="BO109" s="101"/>
      <c r="BP109" s="100">
        <v>10.44</v>
      </c>
      <c r="BQ109" s="101">
        <v>22.85</v>
      </c>
      <c r="BR109" s="100">
        <v>14.32</v>
      </c>
      <c r="BS109" s="101">
        <v>26.55</v>
      </c>
      <c r="BT109" s="100">
        <v>25.55</v>
      </c>
      <c r="BU109" s="101">
        <v>16.54</v>
      </c>
      <c r="BV109" s="100">
        <v>28.54</v>
      </c>
      <c r="BW109" s="101">
        <v>14.82</v>
      </c>
      <c r="BX109" s="100">
        <v>26.82</v>
      </c>
      <c r="BY109" s="101">
        <v>17.850000000000001</v>
      </c>
      <c r="BZ109" s="100">
        <v>31.6</v>
      </c>
      <c r="CA109" s="101">
        <v>19.239999999999998</v>
      </c>
      <c r="CB109" s="100">
        <v>34.97</v>
      </c>
      <c r="CC109" s="101">
        <v>20.37</v>
      </c>
      <c r="CD109" s="100">
        <v>33.07</v>
      </c>
      <c r="CE109" s="101">
        <v>22.41</v>
      </c>
      <c r="CF109" s="100">
        <v>36.32</v>
      </c>
      <c r="CG109" s="101">
        <v>23.06</v>
      </c>
      <c r="CH109" s="100">
        <v>33.92</v>
      </c>
      <c r="CI109" s="101">
        <v>33.46</v>
      </c>
      <c r="CJ109" s="100">
        <v>58.03</v>
      </c>
      <c r="CK109" s="101">
        <v>19.16</v>
      </c>
      <c r="CL109" s="100">
        <v>59.33</v>
      </c>
      <c r="CM109" s="101">
        <v>27.66</v>
      </c>
      <c r="CN109" s="100">
        <v>63.54</v>
      </c>
      <c r="CO109" s="101">
        <v>36.590000000000003</v>
      </c>
      <c r="CP109" s="100">
        <v>91.77</v>
      </c>
      <c r="CQ109" s="101">
        <v>33.590000000000003</v>
      </c>
      <c r="CR109" s="100"/>
      <c r="CS109" s="101"/>
      <c r="CT109" s="100"/>
      <c r="CU109" s="101"/>
      <c r="CV109" s="67"/>
      <c r="CW109" s="101">
        <v>238.53137599999999</v>
      </c>
      <c r="CX109" s="101">
        <v>380.15106433751703</v>
      </c>
      <c r="CY109" s="101">
        <v>422.46609634945401</v>
      </c>
      <c r="CZ109" s="298">
        <v>423.04</v>
      </c>
      <c r="DA109" s="299">
        <v>478.87</v>
      </c>
      <c r="DB109" s="298">
        <v>608</v>
      </c>
      <c r="DC109" s="298">
        <v>712.45</v>
      </c>
      <c r="DD109" s="298">
        <v>741.27</v>
      </c>
      <c r="DE109" s="298">
        <v>837.68</v>
      </c>
      <c r="DF109" s="298">
        <v>1134.95</v>
      </c>
      <c r="DG109" s="298">
        <v>1112.03</v>
      </c>
      <c r="DH109" s="298">
        <v>1641.41</v>
      </c>
      <c r="DI109" s="298">
        <v>2324.4699999999998</v>
      </c>
      <c r="DJ109" s="298">
        <v>3082.94</v>
      </c>
      <c r="DK109" s="112" t="s">
        <v>166</v>
      </c>
    </row>
    <row r="110" spans="1:115" s="102" customFormat="1" x14ac:dyDescent="0.4">
      <c r="A110" s="64" t="s">
        <v>167</v>
      </c>
      <c r="B110" s="80">
        <v>543.54999999999995</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10.53</v>
      </c>
      <c r="BH110" s="100"/>
      <c r="BI110" s="100"/>
      <c r="BJ110" s="100"/>
      <c r="BK110" s="100"/>
      <c r="BL110" s="100"/>
      <c r="BM110" s="100"/>
      <c r="BN110" s="100"/>
      <c r="BO110" s="101"/>
      <c r="BP110" s="100">
        <v>1.3</v>
      </c>
      <c r="BQ110" s="101">
        <v>107.17</v>
      </c>
      <c r="BR110" s="100">
        <v>6.33</v>
      </c>
      <c r="BS110" s="101">
        <v>32.22</v>
      </c>
      <c r="BT110" s="100">
        <v>13.12</v>
      </c>
      <c r="BU110" s="101">
        <v>18.75</v>
      </c>
      <c r="BV110" s="100">
        <v>14.36</v>
      </c>
      <c r="BW110" s="101">
        <v>15.41</v>
      </c>
      <c r="BX110" s="100">
        <v>11.36</v>
      </c>
      <c r="BY110" s="101">
        <v>22.19</v>
      </c>
      <c r="BZ110" s="100">
        <v>12.47</v>
      </c>
      <c r="CA110" s="101">
        <v>24.94</v>
      </c>
      <c r="CB110" s="100">
        <v>10.47</v>
      </c>
      <c r="CC110" s="101">
        <v>30.97</v>
      </c>
      <c r="CD110" s="100">
        <v>6.42</v>
      </c>
      <c r="CE110" s="101">
        <v>44.54</v>
      </c>
      <c r="CF110" s="100">
        <v>10.42</v>
      </c>
      <c r="CG110" s="101">
        <v>32.659999999999997</v>
      </c>
      <c r="CH110" s="100">
        <v>17.25</v>
      </c>
      <c r="CI110" s="101">
        <v>23.74</v>
      </c>
      <c r="CJ110" s="100">
        <v>21.39</v>
      </c>
      <c r="CK110" s="101">
        <v>15.79</v>
      </c>
      <c r="CL110" s="100">
        <v>12.16</v>
      </c>
      <c r="CM110" s="101">
        <v>33.68</v>
      </c>
      <c r="CN110" s="100">
        <v>10.54</v>
      </c>
      <c r="CO110" s="101">
        <v>45.46</v>
      </c>
      <c r="CP110" s="100">
        <v>33.590000000000003</v>
      </c>
      <c r="CQ110" s="101">
        <v>17.88</v>
      </c>
      <c r="CR110" s="100"/>
      <c r="CS110" s="101"/>
      <c r="CT110" s="100"/>
      <c r="CU110" s="101"/>
      <c r="CV110" s="67"/>
      <c r="CW110" s="101">
        <v>139.32307499999999</v>
      </c>
      <c r="CX110" s="101">
        <v>203.967506982814</v>
      </c>
      <c r="CY110" s="101">
        <v>246.06090335991399</v>
      </c>
      <c r="CZ110" s="298">
        <v>221.24</v>
      </c>
      <c r="DA110" s="299">
        <v>252.11</v>
      </c>
      <c r="DB110" s="298">
        <v>310.94</v>
      </c>
      <c r="DC110" s="298">
        <v>324.39</v>
      </c>
      <c r="DD110" s="298">
        <v>285.8</v>
      </c>
      <c r="DE110" s="298">
        <v>340.34</v>
      </c>
      <c r="DF110" s="298">
        <v>409.64</v>
      </c>
      <c r="DG110" s="298">
        <v>337.8</v>
      </c>
      <c r="DH110" s="298">
        <v>409.54</v>
      </c>
      <c r="DI110" s="298">
        <v>479.26</v>
      </c>
      <c r="DJ110" s="298">
        <v>600.55999999999995</v>
      </c>
      <c r="DK110" s="112" t="s">
        <v>167</v>
      </c>
    </row>
    <row r="111" spans="1:115" s="102" customFormat="1" x14ac:dyDescent="0.4">
      <c r="A111" s="64" t="s">
        <v>387</v>
      </c>
      <c r="B111" s="80">
        <v>192.51</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2.58</v>
      </c>
      <c r="BH111" s="100"/>
      <c r="BI111" s="100"/>
      <c r="BJ111" s="100"/>
      <c r="BK111" s="100"/>
      <c r="BL111" s="100"/>
      <c r="BM111" s="100"/>
      <c r="BN111" s="100"/>
      <c r="BO111" s="101"/>
      <c r="BP111" s="100">
        <v>6.93</v>
      </c>
      <c r="BQ111" s="101">
        <v>16.079999999999998</v>
      </c>
      <c r="BR111" s="100">
        <v>5.83</v>
      </c>
      <c r="BS111" s="101">
        <v>19.59</v>
      </c>
      <c r="BT111" s="100">
        <v>7.69</v>
      </c>
      <c r="BU111" s="101">
        <v>16.68</v>
      </c>
      <c r="BV111" s="100">
        <v>1.92</v>
      </c>
      <c r="BW111" s="101">
        <v>67.02</v>
      </c>
      <c r="BX111" s="100">
        <v>1.94</v>
      </c>
      <c r="BY111" s="101">
        <v>74.709999999999994</v>
      </c>
      <c r="BZ111" s="100">
        <v>10.82</v>
      </c>
      <c r="CA111" s="101">
        <v>14.3</v>
      </c>
      <c r="CB111" s="100">
        <v>6.48</v>
      </c>
      <c r="CC111" s="101">
        <v>23.52</v>
      </c>
      <c r="CD111" s="100">
        <v>12.18</v>
      </c>
      <c r="CE111" s="101">
        <v>12.28</v>
      </c>
      <c r="CF111" s="100">
        <v>9.02</v>
      </c>
      <c r="CG111" s="101">
        <v>19.52</v>
      </c>
      <c r="CH111" s="100">
        <v>20.21</v>
      </c>
      <c r="CI111" s="101">
        <v>8.17</v>
      </c>
      <c r="CJ111" s="100">
        <v>10.71</v>
      </c>
      <c r="CK111" s="101">
        <v>12.95</v>
      </c>
      <c r="CL111" s="100">
        <v>7.05</v>
      </c>
      <c r="CM111" s="101">
        <v>25.65</v>
      </c>
      <c r="CN111" s="100">
        <v>5.64</v>
      </c>
      <c r="CO111" s="101">
        <v>39.119999999999997</v>
      </c>
      <c r="CP111" s="100">
        <v>11.64</v>
      </c>
      <c r="CQ111" s="101">
        <v>22.8</v>
      </c>
      <c r="CR111" s="100"/>
      <c r="CS111" s="101"/>
      <c r="CT111" s="100"/>
      <c r="CU111" s="101"/>
      <c r="CV111" s="67"/>
      <c r="CW111" s="101">
        <v>111.414979</v>
      </c>
      <c r="CX111" s="101">
        <v>114.226087996781</v>
      </c>
      <c r="CY111" s="101">
        <v>128.237547632126</v>
      </c>
      <c r="CZ111" s="298">
        <v>128.91</v>
      </c>
      <c r="DA111" s="299">
        <v>144.97999999999999</v>
      </c>
      <c r="DB111" s="298">
        <v>154.66999999999999</v>
      </c>
      <c r="DC111" s="298">
        <v>152.32</v>
      </c>
      <c r="DD111" s="298">
        <v>149.56</v>
      </c>
      <c r="DE111" s="298">
        <v>176.17</v>
      </c>
      <c r="DF111" s="298">
        <v>165.04</v>
      </c>
      <c r="DG111" s="298">
        <v>138.68</v>
      </c>
      <c r="DH111" s="298">
        <v>180.87</v>
      </c>
      <c r="DI111" s="298">
        <v>220.54</v>
      </c>
      <c r="DJ111" s="298">
        <v>265.27999999999997</v>
      </c>
      <c r="DK111" s="112" t="s">
        <v>387</v>
      </c>
    </row>
    <row r="112" spans="1:115" s="102" customFormat="1" x14ac:dyDescent="0.4">
      <c r="A112" s="64" t="s">
        <v>168</v>
      </c>
      <c r="B112" s="80">
        <v>409.94</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5.32</v>
      </c>
      <c r="BH112" s="100"/>
      <c r="BI112" s="100"/>
      <c r="BJ112" s="100"/>
      <c r="BK112" s="100"/>
      <c r="BL112" s="100"/>
      <c r="BM112" s="100"/>
      <c r="BN112" s="100"/>
      <c r="BO112" s="101"/>
      <c r="BP112" s="100">
        <v>12.34</v>
      </c>
      <c r="BQ112" s="101">
        <v>13.13</v>
      </c>
      <c r="BR112" s="100">
        <v>12.99</v>
      </c>
      <c r="BS112" s="101">
        <v>13.43</v>
      </c>
      <c r="BT112" s="100">
        <v>12.21</v>
      </c>
      <c r="BU112" s="101">
        <v>14.65</v>
      </c>
      <c r="BV112" s="100">
        <v>12.41</v>
      </c>
      <c r="BW112" s="101">
        <v>16.52</v>
      </c>
      <c r="BX112" s="100">
        <v>10.52</v>
      </c>
      <c r="BY112" s="101">
        <v>19.010000000000002</v>
      </c>
      <c r="BZ112" s="100">
        <v>11.33</v>
      </c>
      <c r="CA112" s="101">
        <v>19.53</v>
      </c>
      <c r="CB112" s="100">
        <v>13.2</v>
      </c>
      <c r="CC112" s="101">
        <v>20.62</v>
      </c>
      <c r="CD112" s="100">
        <v>9.94</v>
      </c>
      <c r="CE112" s="101">
        <v>25.2</v>
      </c>
      <c r="CF112" s="100">
        <v>9.9499999999999993</v>
      </c>
      <c r="CG112" s="101">
        <v>28.61</v>
      </c>
      <c r="CH112" s="100">
        <v>13.97</v>
      </c>
      <c r="CI112" s="101">
        <v>22.1</v>
      </c>
      <c r="CJ112" s="100">
        <v>12.55</v>
      </c>
      <c r="CK112" s="101">
        <v>24.82</v>
      </c>
      <c r="CL112" s="100">
        <v>17.93</v>
      </c>
      <c r="CM112" s="101">
        <v>21.06</v>
      </c>
      <c r="CN112" s="100">
        <v>12.72</v>
      </c>
      <c r="CO112" s="101">
        <v>28.45</v>
      </c>
      <c r="CP112" s="100">
        <v>15.31</v>
      </c>
      <c r="CQ112" s="101">
        <v>27</v>
      </c>
      <c r="CR112" s="100"/>
      <c r="CS112" s="101"/>
      <c r="CT112" s="100"/>
      <c r="CU112" s="101"/>
      <c r="CV112" s="67"/>
      <c r="CW112" s="101">
        <v>162.06434999999999</v>
      </c>
      <c r="CX112" s="101">
        <v>174.49693655530899</v>
      </c>
      <c r="CY112" s="101">
        <v>178.90484398331199</v>
      </c>
      <c r="CZ112" s="298">
        <v>204.99</v>
      </c>
      <c r="DA112" s="299">
        <v>200.04</v>
      </c>
      <c r="DB112" s="298">
        <v>221.38</v>
      </c>
      <c r="DC112" s="298">
        <v>272.12</v>
      </c>
      <c r="DD112" s="298">
        <v>250.42</v>
      </c>
      <c r="DE112" s="298">
        <v>284.70999999999998</v>
      </c>
      <c r="DF112" s="298">
        <v>308.86</v>
      </c>
      <c r="DG112" s="298">
        <v>311.5</v>
      </c>
      <c r="DH112" s="298">
        <v>377.57</v>
      </c>
      <c r="DI112" s="298">
        <v>361.82</v>
      </c>
      <c r="DJ112" s="298">
        <v>413.43</v>
      </c>
      <c r="DK112" s="112" t="s">
        <v>168</v>
      </c>
    </row>
    <row r="113" spans="1:115" s="102" customFormat="1" x14ac:dyDescent="0.4">
      <c r="A113" s="64" t="s">
        <v>313</v>
      </c>
      <c r="B113" s="80">
        <v>239.08</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c r="BI113" s="100"/>
      <c r="BJ113" s="100"/>
      <c r="BK113" s="100"/>
      <c r="BL113" s="100"/>
      <c r="BM113" s="100"/>
      <c r="BN113" s="100"/>
      <c r="BO113" s="101"/>
      <c r="BP113" s="100"/>
      <c r="BQ113" s="101"/>
      <c r="BR113" s="100"/>
      <c r="BS113" s="101"/>
      <c r="BT113" s="100"/>
      <c r="BU113" s="101"/>
      <c r="BV113" s="100"/>
      <c r="BW113" s="101"/>
      <c r="BX113" s="100"/>
      <c r="BY113" s="101"/>
      <c r="BZ113" s="100">
        <v>3.31</v>
      </c>
      <c r="CA113" s="101">
        <v>44.38</v>
      </c>
      <c r="CB113" s="100">
        <v>5.46</v>
      </c>
      <c r="CC113" s="101">
        <v>33.61</v>
      </c>
      <c r="CD113" s="100">
        <v>5.01</v>
      </c>
      <c r="CE113" s="101">
        <v>36.68</v>
      </c>
      <c r="CF113" s="100">
        <v>6.96</v>
      </c>
      <c r="CG113" s="101">
        <v>27.3</v>
      </c>
      <c r="CH113" s="100">
        <v>5.33</v>
      </c>
      <c r="CI113" s="101">
        <v>37.53</v>
      </c>
      <c r="CJ113" s="100">
        <v>6.2</v>
      </c>
      <c r="CK113" s="101">
        <v>29.95</v>
      </c>
      <c r="CL113" s="100">
        <v>6.66</v>
      </c>
      <c r="CM113" s="101">
        <v>34.49</v>
      </c>
      <c r="CN113" s="100">
        <v>3.51</v>
      </c>
      <c r="CO113" s="101">
        <v>60.59</v>
      </c>
      <c r="CP113" s="100">
        <v>7.02</v>
      </c>
      <c r="CQ113" s="101">
        <v>42.14</v>
      </c>
      <c r="CR113" s="100"/>
      <c r="CS113" s="101"/>
      <c r="CT113" s="100"/>
      <c r="CU113" s="101"/>
      <c r="CV113" s="101"/>
      <c r="CW113" s="101"/>
      <c r="CX113" s="101"/>
      <c r="CY113" s="101"/>
      <c r="CZ113" s="298"/>
      <c r="DA113" s="299"/>
      <c r="DB113" s="298"/>
      <c r="DC113" s="298"/>
      <c r="DD113" s="298"/>
      <c r="DE113" s="298">
        <v>189.91</v>
      </c>
      <c r="DF113" s="298">
        <v>199.89</v>
      </c>
      <c r="DG113" s="298">
        <v>185.8</v>
      </c>
      <c r="DH113" s="298">
        <v>229.67</v>
      </c>
      <c r="DI113" s="298">
        <v>212.56</v>
      </c>
      <c r="DJ113" s="298">
        <v>296.05</v>
      </c>
      <c r="DK113" s="112" t="s">
        <v>508</v>
      </c>
    </row>
    <row r="115" spans="1:115" x14ac:dyDescent="0.4">
      <c r="A115" s="64" t="s">
        <v>94</v>
      </c>
    </row>
    <row r="116" spans="1:115" x14ac:dyDescent="0.4">
      <c r="A116" s="64" t="s">
        <v>95</v>
      </c>
    </row>
    <row r="117" spans="1:115" x14ac:dyDescent="0.4">
      <c r="A117" s="64" t="s">
        <v>96</v>
      </c>
    </row>
    <row r="118" spans="1:115" x14ac:dyDescent="0.4">
      <c r="A118" s="64" t="s">
        <v>97</v>
      </c>
    </row>
    <row r="119" spans="1:115" x14ac:dyDescent="0.4">
      <c r="A119" s="64" t="s">
        <v>98</v>
      </c>
    </row>
    <row r="120" spans="1:115" x14ac:dyDescent="0.4">
      <c r="A120" s="64" t="s">
        <v>108</v>
      </c>
    </row>
    <row r="121" spans="1:115" x14ac:dyDescent="0.4">
      <c r="A121" s="64" t="s">
        <v>99</v>
      </c>
    </row>
    <row r="123" spans="1:115" x14ac:dyDescent="0.4">
      <c r="A123" s="64" t="s">
        <v>100</v>
      </c>
    </row>
    <row r="124" spans="1:115" x14ac:dyDescent="0.4">
      <c r="A124" s="64" t="s">
        <v>101</v>
      </c>
    </row>
    <row r="125" spans="1:115" x14ac:dyDescent="0.4">
      <c r="A125" s="64" t="s">
        <v>102</v>
      </c>
    </row>
    <row r="126" spans="1:115" x14ac:dyDescent="0.4">
      <c r="A126" s="64" t="s">
        <v>103</v>
      </c>
    </row>
    <row r="127" spans="1:115" x14ac:dyDescent="0.4">
      <c r="A127" s="64" t="s">
        <v>372</v>
      </c>
    </row>
    <row r="128" spans="1:115" x14ac:dyDescent="0.4">
      <c r="A128" s="64" t="s">
        <v>413</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6"/>
  <sheetViews>
    <sheetView workbookViewId="0">
      <pane ySplit="6" topLeftCell="A128" activePane="bottomLeft" state="frozen"/>
      <selection pane="bottomLeft" activeCell="M166" sqref="M166"/>
    </sheetView>
  </sheetViews>
  <sheetFormatPr defaultRowHeight="12.75" x14ac:dyDescent="0.35"/>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80" bestFit="1" customWidth="1"/>
    <col min="11" max="11" width="13.3984375" style="1" customWidth="1"/>
  </cols>
  <sheetData>
    <row r="1" spans="1:13" s="7" customFormat="1" ht="13.15" x14ac:dyDescent="0.4">
      <c r="A1" s="206" t="s">
        <v>149</v>
      </c>
      <c r="B1" s="54"/>
      <c r="C1" s="54"/>
      <c r="D1" s="54"/>
      <c r="E1" s="41"/>
      <c r="F1" s="41"/>
      <c r="G1" s="54"/>
      <c r="H1" s="59"/>
      <c r="I1" s="54"/>
      <c r="J1" s="6"/>
      <c r="K1" s="6"/>
      <c r="L1" s="6"/>
      <c r="M1" s="6"/>
    </row>
    <row r="2" spans="1:13" s="72" customFormat="1" ht="13.15" x14ac:dyDescent="0.4">
      <c r="A2" s="206" t="s">
        <v>107</v>
      </c>
      <c r="B2" s="54"/>
      <c r="C2" s="54"/>
      <c r="D2" s="54"/>
      <c r="E2" s="41"/>
      <c r="F2" s="41"/>
      <c r="G2" s="54"/>
      <c r="H2" s="59"/>
      <c r="I2" s="54"/>
      <c r="J2" s="6"/>
      <c r="K2" s="6"/>
      <c r="L2" s="6"/>
      <c r="M2" s="6"/>
    </row>
    <row r="3" spans="1:13" s="72" customFormat="1" ht="13.15" x14ac:dyDescent="0.4">
      <c r="A3" s="207"/>
      <c r="B3" s="54"/>
      <c r="C3" s="54"/>
      <c r="D3" s="54"/>
      <c r="E3" s="41"/>
      <c r="F3" s="41"/>
      <c r="G3" s="54"/>
      <c r="H3" s="59"/>
      <c r="I3" s="54"/>
      <c r="J3" s="6"/>
      <c r="K3" s="6"/>
      <c r="L3" s="6"/>
      <c r="M3" s="6"/>
    </row>
    <row r="4" spans="1:13" s="93" customFormat="1" ht="13.15" x14ac:dyDescent="0.4">
      <c r="A4" s="206"/>
      <c r="B4" s="54" t="s">
        <v>15</v>
      </c>
      <c r="C4" s="54" t="s">
        <v>10</v>
      </c>
      <c r="D4" s="54" t="s">
        <v>8</v>
      </c>
      <c r="E4" s="41" t="s">
        <v>21</v>
      </c>
      <c r="F4" s="41" t="s">
        <v>27</v>
      </c>
      <c r="G4" s="54" t="s">
        <v>277</v>
      </c>
      <c r="H4" s="59"/>
      <c r="I4" s="54"/>
      <c r="J4" s="54"/>
      <c r="K4" s="54"/>
    </row>
    <row r="5" spans="1:13" s="93" customFormat="1" ht="13.15" x14ac:dyDescent="0.4">
      <c r="A5" s="206" t="s">
        <v>0</v>
      </c>
      <c r="B5" s="54" t="s">
        <v>16</v>
      </c>
      <c r="C5" s="54" t="s">
        <v>16</v>
      </c>
      <c r="D5" s="54" t="s">
        <v>4</v>
      </c>
      <c r="E5" s="41" t="s">
        <v>25</v>
      </c>
      <c r="F5" s="41" t="s">
        <v>25</v>
      </c>
      <c r="G5" s="54" t="s">
        <v>278</v>
      </c>
      <c r="H5" s="59"/>
      <c r="I5" s="54"/>
      <c r="J5" s="54"/>
      <c r="K5" s="54"/>
    </row>
    <row r="6" spans="1:13" s="93" customFormat="1" ht="13.15" x14ac:dyDescent="0.4">
      <c r="A6" s="206" t="s">
        <v>11</v>
      </c>
      <c r="B6" s="54" t="s">
        <v>14</v>
      </c>
      <c r="C6" s="54" t="s">
        <v>14</v>
      </c>
      <c r="D6" s="54" t="s">
        <v>14</v>
      </c>
      <c r="E6" s="41" t="s">
        <v>26</v>
      </c>
      <c r="F6" s="41" t="s">
        <v>26</v>
      </c>
      <c r="G6" s="54" t="s">
        <v>117</v>
      </c>
      <c r="H6" s="59" t="s">
        <v>1</v>
      </c>
      <c r="I6" s="54" t="s">
        <v>2</v>
      </c>
      <c r="J6" s="97"/>
      <c r="K6" s="54"/>
    </row>
    <row r="7" spans="1:13" s="33" customFormat="1" x14ac:dyDescent="0.35">
      <c r="A7" s="43">
        <v>44651</v>
      </c>
      <c r="B7" s="32"/>
      <c r="C7" s="32"/>
      <c r="D7" s="28">
        <v>16.25010093695899</v>
      </c>
      <c r="E7" s="28"/>
      <c r="F7" s="28"/>
      <c r="G7" s="32"/>
      <c r="H7" s="60">
        <v>4530.4134516834702</v>
      </c>
      <c r="I7" s="32">
        <v>8451.3251981430185</v>
      </c>
      <c r="J7" s="295"/>
      <c r="K7" s="32"/>
    </row>
    <row r="8" spans="1:13" s="93" customFormat="1" ht="13.15" x14ac:dyDescent="0.4">
      <c r="A8" s="43">
        <v>44561</v>
      </c>
      <c r="B8" s="28">
        <v>56.73</v>
      </c>
      <c r="C8" s="28">
        <v>53.94</v>
      </c>
      <c r="D8" s="28">
        <v>15.783466156640799</v>
      </c>
      <c r="E8" s="28">
        <v>423.17418038972301</v>
      </c>
      <c r="F8" s="28">
        <v>1008.0234</v>
      </c>
      <c r="G8" s="28">
        <v>24.046600000000002</v>
      </c>
      <c r="H8" s="60">
        <v>4766.1829724282998</v>
      </c>
      <c r="I8" s="32">
        <v>8467.2568053590385</v>
      </c>
      <c r="J8" s="97"/>
      <c r="K8" s="54"/>
    </row>
    <row r="9" spans="1:13" s="33" customFormat="1" x14ac:dyDescent="0.35">
      <c r="A9" s="43">
        <v>44469</v>
      </c>
      <c r="B9" s="28">
        <v>52.02</v>
      </c>
      <c r="C9" s="28">
        <v>49.59</v>
      </c>
      <c r="D9" s="28">
        <v>15.359</v>
      </c>
      <c r="E9" s="28">
        <v>395.06714915593102</v>
      </c>
      <c r="F9" s="28">
        <v>983.04240000000004</v>
      </c>
      <c r="G9" s="28">
        <v>20.7683</v>
      </c>
      <c r="H9" s="60">
        <v>4307.5387507897103</v>
      </c>
      <c r="I9" s="32">
        <v>8482.4281916565105</v>
      </c>
      <c r="J9" s="32"/>
      <c r="K9" s="32"/>
    </row>
    <row r="10" spans="1:13" s="93" customFormat="1" ht="13.15" x14ac:dyDescent="0.4">
      <c r="A10" s="43">
        <v>44377</v>
      </c>
      <c r="B10" s="28">
        <v>52.05</v>
      </c>
      <c r="C10" s="28">
        <v>48.39</v>
      </c>
      <c r="D10" s="28">
        <v>14.577407230474947</v>
      </c>
      <c r="E10" s="28">
        <v>384.50522159944802</v>
      </c>
      <c r="F10" s="28">
        <v>969.73299999999995</v>
      </c>
      <c r="G10" s="28">
        <v>19.357399999999998</v>
      </c>
      <c r="H10" s="60">
        <v>4297.4966318818697</v>
      </c>
      <c r="I10" s="32">
        <v>8452.5341237910507</v>
      </c>
      <c r="J10" s="32"/>
      <c r="K10" s="32"/>
    </row>
    <row r="11" spans="1:13" s="93" customFormat="1" ht="13.15" x14ac:dyDescent="0.4">
      <c r="A11" s="43">
        <v>44286</v>
      </c>
      <c r="B11" s="28">
        <v>47.41</v>
      </c>
      <c r="C11" s="28">
        <v>45.95</v>
      </c>
      <c r="D11" s="28">
        <v>14.67724389527684</v>
      </c>
      <c r="E11" s="28">
        <v>364.05324016730901</v>
      </c>
      <c r="F11" s="28">
        <v>938.53150000000005</v>
      </c>
      <c r="G11" s="28">
        <v>18.038499999999999</v>
      </c>
      <c r="H11" s="60">
        <v>3972.8922084302499</v>
      </c>
      <c r="I11" s="32">
        <v>8462.1873828658699</v>
      </c>
      <c r="J11" s="32"/>
      <c r="K11" s="32"/>
    </row>
    <row r="12" spans="1:13" s="33" customFormat="1" x14ac:dyDescent="0.35">
      <c r="A12" s="43">
        <v>44196</v>
      </c>
      <c r="B12" s="28">
        <v>38.18</v>
      </c>
      <c r="C12" s="28">
        <v>31.44</v>
      </c>
      <c r="D12" s="28">
        <v>14.640831622792422</v>
      </c>
      <c r="E12" s="28">
        <v>367.47827342610799</v>
      </c>
      <c r="F12" s="28">
        <v>927.51750000000004</v>
      </c>
      <c r="G12" s="28">
        <v>20.909700000000001</v>
      </c>
      <c r="H12" s="60">
        <v>3756.0714689572001</v>
      </c>
      <c r="I12" s="32">
        <v>8428.67362836559</v>
      </c>
      <c r="J12" s="32"/>
      <c r="K12" s="32"/>
    </row>
    <row r="13" spans="1:13" s="33" customFormat="1" x14ac:dyDescent="0.35">
      <c r="A13" s="43">
        <v>44104</v>
      </c>
      <c r="B13" s="28">
        <v>37.9</v>
      </c>
      <c r="C13" s="52">
        <v>32.979999999999997</v>
      </c>
      <c r="D13" s="28">
        <v>13.969559385871939</v>
      </c>
      <c r="E13" s="28">
        <v>346.71021912748</v>
      </c>
      <c r="F13" s="28">
        <v>920.33609999999999</v>
      </c>
      <c r="G13" s="28">
        <v>17.938300000000002</v>
      </c>
      <c r="H13" s="60">
        <v>3362.9989876496502</v>
      </c>
      <c r="I13" s="32">
        <v>8286.6732987839478</v>
      </c>
      <c r="J13" s="32"/>
      <c r="K13" s="32"/>
    </row>
    <row r="14" spans="1:13" s="93" customFormat="1" ht="13.15" x14ac:dyDescent="0.4">
      <c r="A14" s="43">
        <v>44012</v>
      </c>
      <c r="B14" s="28">
        <v>26.79</v>
      </c>
      <c r="C14" s="52">
        <v>17.829999999999998</v>
      </c>
      <c r="D14" s="28">
        <v>14.345752160961448</v>
      </c>
      <c r="E14" s="28">
        <v>315.60950948375</v>
      </c>
      <c r="F14" s="28">
        <v>901.97220000000004</v>
      </c>
      <c r="G14" s="28">
        <v>17.1724</v>
      </c>
      <c r="H14" s="60">
        <v>3100.2851286595301</v>
      </c>
      <c r="I14" s="32">
        <v>8269.1130566765696</v>
      </c>
      <c r="J14" s="28"/>
      <c r="K14" s="54"/>
    </row>
    <row r="15" spans="1:13" s="93" customFormat="1" ht="13.15" x14ac:dyDescent="0.4">
      <c r="A15" s="43">
        <v>43921</v>
      </c>
      <c r="B15" s="28">
        <v>19.5</v>
      </c>
      <c r="C15" s="52">
        <v>11.88</v>
      </c>
      <c r="D15" s="28">
        <v>15.322702966384359</v>
      </c>
      <c r="E15" s="28">
        <v>332.58706948894502</v>
      </c>
      <c r="F15" s="28">
        <v>885.59439999999995</v>
      </c>
      <c r="G15" s="28">
        <v>19.819099999999999</v>
      </c>
      <c r="H15" s="60">
        <v>2584.5907599343</v>
      </c>
      <c r="I15" s="32">
        <v>8289.2748413449008</v>
      </c>
      <c r="J15" s="54"/>
      <c r="K15" s="54"/>
    </row>
    <row r="16" spans="1:13" s="93" customFormat="1" ht="13.15" x14ac:dyDescent="0.4">
      <c r="A16" s="43">
        <v>43830</v>
      </c>
      <c r="B16" s="28">
        <v>39.18</v>
      </c>
      <c r="C16" s="52">
        <v>35.53</v>
      </c>
      <c r="D16" s="28">
        <v>15.213222200892581</v>
      </c>
      <c r="E16" s="28">
        <v>369.22785839068501</v>
      </c>
      <c r="F16" s="28">
        <v>914.49069999999995</v>
      </c>
      <c r="G16" s="28">
        <v>23.229600000000001</v>
      </c>
      <c r="H16" s="60">
        <v>3230.7819500904302</v>
      </c>
      <c r="I16" s="32">
        <v>8282.7275873988601</v>
      </c>
      <c r="J16" s="97"/>
      <c r="K16" s="54"/>
    </row>
    <row r="17" spans="1:11" s="93" customFormat="1" ht="13.15" x14ac:dyDescent="0.4">
      <c r="A17" s="43">
        <v>43738</v>
      </c>
      <c r="B17" s="28">
        <v>39.81</v>
      </c>
      <c r="C17" s="52">
        <v>33.99</v>
      </c>
      <c r="D17" s="28">
        <v>14.801734274295193</v>
      </c>
      <c r="E17" s="28">
        <v>355.01641754705003</v>
      </c>
      <c r="F17" s="28">
        <v>902.94090000000006</v>
      </c>
      <c r="G17" s="28">
        <v>21.032299999999999</v>
      </c>
      <c r="H17" s="60">
        <v>2976.73727174433</v>
      </c>
      <c r="I17" s="32">
        <v>8299.9994118209033</v>
      </c>
      <c r="J17" s="97"/>
      <c r="K17" s="54"/>
    </row>
    <row r="18" spans="1:11" s="93" customFormat="1" ht="13.15" x14ac:dyDescent="0.4">
      <c r="A18" s="43">
        <v>43644</v>
      </c>
      <c r="B18" s="28">
        <v>40.14</v>
      </c>
      <c r="C18" s="52">
        <v>34.93</v>
      </c>
      <c r="D18" s="28">
        <v>14.242944144807993</v>
      </c>
      <c r="E18" s="28">
        <v>351.91174482776103</v>
      </c>
      <c r="F18" s="28">
        <v>884.74091429322095</v>
      </c>
      <c r="G18" s="28">
        <v>20.656704765818201</v>
      </c>
      <c r="H18" s="60">
        <v>2941.76</v>
      </c>
      <c r="I18" s="32">
        <v>8302.3379796843001</v>
      </c>
      <c r="J18" s="97"/>
      <c r="K18" s="54"/>
    </row>
    <row r="19" spans="1:11" s="93" customFormat="1" ht="13.15" x14ac:dyDescent="0.4">
      <c r="A19" s="43">
        <v>43553</v>
      </c>
      <c r="B19" s="28">
        <v>37.99</v>
      </c>
      <c r="C19" s="52">
        <v>35.020000000000003</v>
      </c>
      <c r="D19" s="28">
        <v>13.982721935746159</v>
      </c>
      <c r="E19" s="28">
        <v>338.85041002731901</v>
      </c>
      <c r="F19" s="28">
        <v>868.42129999999997</v>
      </c>
      <c r="G19" s="28">
        <v>17.878399999999999</v>
      </c>
      <c r="H19" s="60">
        <v>2834.4</v>
      </c>
      <c r="I19" s="32">
        <v>8332.8377390670303</v>
      </c>
      <c r="J19" s="97"/>
      <c r="K19" s="54"/>
    </row>
    <row r="20" spans="1:11" s="93" customFormat="1" ht="13.15" x14ac:dyDescent="0.4">
      <c r="A20" s="43">
        <v>43465</v>
      </c>
      <c r="B20" s="28">
        <v>35.03</v>
      </c>
      <c r="C20" s="28">
        <v>28.96</v>
      </c>
      <c r="D20" s="28">
        <v>14.192106539138369</v>
      </c>
      <c r="E20" s="28">
        <v>346.70545462087</v>
      </c>
      <c r="F20" s="28">
        <v>851.62022431205105</v>
      </c>
      <c r="G20" s="28">
        <v>21.119499999999999</v>
      </c>
      <c r="H20" s="60">
        <v>2506.8471826272198</v>
      </c>
      <c r="I20" s="32">
        <v>8387.7875682931499</v>
      </c>
      <c r="J20" s="97"/>
      <c r="K20" s="54"/>
    </row>
    <row r="21" spans="1:11" s="93" customFormat="1" ht="13.15" x14ac:dyDescent="0.4">
      <c r="A21" s="43">
        <v>43371</v>
      </c>
      <c r="B21" s="28">
        <v>41.38</v>
      </c>
      <c r="C21" s="28">
        <v>36.36</v>
      </c>
      <c r="D21" s="28">
        <v>13.6595021220856</v>
      </c>
      <c r="E21" s="28">
        <v>341.27368750750799</v>
      </c>
      <c r="F21" s="28">
        <v>843.57510000000002</v>
      </c>
      <c r="G21" s="28">
        <v>18.593599999999999</v>
      </c>
      <c r="H21" s="60">
        <v>2913.97813988603</v>
      </c>
      <c r="I21" s="32">
        <v>8434.9562335351893</v>
      </c>
      <c r="J21" s="97"/>
      <c r="K21" s="54"/>
    </row>
    <row r="22" spans="1:11" s="93" customFormat="1" ht="13.15" x14ac:dyDescent="0.4">
      <c r="A22" s="43">
        <v>43280</v>
      </c>
      <c r="B22" s="28">
        <v>38.65</v>
      </c>
      <c r="C22" s="28">
        <v>34.049999999999997</v>
      </c>
      <c r="D22" s="28">
        <v>13.102582854438491</v>
      </c>
      <c r="E22" s="28">
        <v>334.63780255154398</v>
      </c>
      <c r="F22" s="28">
        <v>836.39139999999998</v>
      </c>
      <c r="G22" s="28">
        <v>18.595099999999999</v>
      </c>
      <c r="H22" s="60">
        <v>2718.37</v>
      </c>
      <c r="I22" s="32">
        <v>8474.3125401985908</v>
      </c>
      <c r="J22" s="97"/>
      <c r="K22" s="54"/>
    </row>
    <row r="23" spans="1:11" s="93" customFormat="1" ht="13.15" x14ac:dyDescent="0.4">
      <c r="A23" s="43">
        <v>43188</v>
      </c>
      <c r="B23" s="28">
        <v>36.54</v>
      </c>
      <c r="C23" s="28">
        <v>33.020000000000003</v>
      </c>
      <c r="D23" s="28">
        <v>12.793986568954411</v>
      </c>
      <c r="E23" s="28">
        <v>320.388020623241</v>
      </c>
      <c r="F23" s="28">
        <v>833.44100000000003</v>
      </c>
      <c r="G23" s="28">
        <v>17.234999999999999</v>
      </c>
      <c r="H23" s="60">
        <v>2640.8659903292901</v>
      </c>
      <c r="I23" s="32">
        <v>8518.4082381580502</v>
      </c>
      <c r="J23" s="97"/>
      <c r="K23" s="54"/>
    </row>
    <row r="24" spans="1:11" s="93" customFormat="1" ht="13.15" x14ac:dyDescent="0.4">
      <c r="A24" s="43">
        <v>43098</v>
      </c>
      <c r="B24" s="28">
        <v>33.85</v>
      </c>
      <c r="C24" s="28">
        <v>26.96</v>
      </c>
      <c r="D24" s="28">
        <v>12.782923979362749</v>
      </c>
      <c r="E24" s="28">
        <v>329.593203077623</v>
      </c>
      <c r="F24" s="28">
        <v>826.52099999999996</v>
      </c>
      <c r="G24" s="28">
        <v>18.617000000000001</v>
      </c>
      <c r="H24" s="60">
        <v>2673.6105231517399</v>
      </c>
      <c r="I24" s="32">
        <v>8535.7385215509803</v>
      </c>
      <c r="J24" s="97"/>
      <c r="K24" s="54"/>
    </row>
    <row r="25" spans="1:11" s="93" customFormat="1" ht="13.15" x14ac:dyDescent="0.4">
      <c r="A25" s="43">
        <v>43008</v>
      </c>
      <c r="B25" s="28">
        <v>31.33</v>
      </c>
      <c r="C25" s="28">
        <v>28.45</v>
      </c>
      <c r="D25" s="28">
        <v>12.310796746221648</v>
      </c>
      <c r="E25" s="28">
        <v>308.22206192952501</v>
      </c>
      <c r="F25" s="28">
        <v>817.822</v>
      </c>
      <c r="G25" s="28">
        <v>16.326000000000001</v>
      </c>
      <c r="H25" s="60">
        <v>2519.3596719060702</v>
      </c>
      <c r="I25" s="32">
        <v>8565.2620982500011</v>
      </c>
      <c r="J25" s="97"/>
      <c r="K25" s="54"/>
    </row>
    <row r="26" spans="1:11" s="93" customFormat="1" ht="13.15" x14ac:dyDescent="0.4">
      <c r="A26" s="43">
        <v>42916</v>
      </c>
      <c r="B26" s="28">
        <v>30.51</v>
      </c>
      <c r="C26" s="28">
        <v>27.01</v>
      </c>
      <c r="D26" s="28">
        <v>12.115322294034428</v>
      </c>
      <c r="E26" s="28">
        <v>300.98034948898999</v>
      </c>
      <c r="F26" s="28">
        <v>798.64400000000001</v>
      </c>
      <c r="G26" s="28">
        <v>15.231999999999999</v>
      </c>
      <c r="H26" s="60">
        <v>2423.4088910629698</v>
      </c>
      <c r="I26" s="32">
        <v>8567.296206939207</v>
      </c>
      <c r="J26" s="97"/>
      <c r="K26" s="54"/>
    </row>
    <row r="27" spans="1:11" s="93" customFormat="1" ht="13.15" x14ac:dyDescent="0.4">
      <c r="A27" s="43">
        <v>42825</v>
      </c>
      <c r="B27" s="28">
        <v>28.82</v>
      </c>
      <c r="C27" s="28">
        <v>27.46</v>
      </c>
      <c r="D27" s="28">
        <v>11.722976315988888</v>
      </c>
      <c r="E27" s="28">
        <v>292.77906197216203</v>
      </c>
      <c r="F27" s="28">
        <v>785.17899999999997</v>
      </c>
      <c r="G27" s="28">
        <v>13.923</v>
      </c>
      <c r="H27" s="60">
        <v>2362.7182203972902</v>
      </c>
      <c r="I27" s="32">
        <v>8581.6303408986005</v>
      </c>
      <c r="J27" s="97"/>
      <c r="K27" s="54"/>
    </row>
    <row r="28" spans="1:11" s="93" customFormat="1" ht="13.15" x14ac:dyDescent="0.4">
      <c r="A28" s="43">
        <v>42735</v>
      </c>
      <c r="B28" s="28">
        <v>27.9</v>
      </c>
      <c r="C28" s="28">
        <v>24.16</v>
      </c>
      <c r="D28" s="28">
        <v>12.024007621816583</v>
      </c>
      <c r="E28" s="28">
        <v>301.11551213454698</v>
      </c>
      <c r="F28" s="28">
        <v>768.98500000000001</v>
      </c>
      <c r="G28" s="28">
        <v>20.151</v>
      </c>
      <c r="H28" s="60">
        <v>2238.82668170754</v>
      </c>
      <c r="I28" s="32">
        <v>8606.2637598811798</v>
      </c>
      <c r="J28" s="97"/>
      <c r="K28" s="54"/>
    </row>
    <row r="29" spans="1:11" s="93" customFormat="1" ht="13.15" x14ac:dyDescent="0.4">
      <c r="A29" s="43">
        <v>42643</v>
      </c>
      <c r="B29" s="28">
        <v>28.69</v>
      </c>
      <c r="C29" s="28">
        <v>25.39</v>
      </c>
      <c r="D29" s="28">
        <v>11.356713187797851</v>
      </c>
      <c r="E29" s="28">
        <v>290.93683358716402</v>
      </c>
      <c r="F29" s="28">
        <v>779.61400000000003</v>
      </c>
      <c r="G29" s="28">
        <v>15.146000000000001</v>
      </c>
      <c r="H29" s="60">
        <v>2168.2720896372798</v>
      </c>
      <c r="I29" s="32">
        <v>8643.5862699972895</v>
      </c>
      <c r="J29" s="97"/>
      <c r="K29" s="54"/>
    </row>
    <row r="30" spans="1:11" s="93" customFormat="1" ht="13.15" x14ac:dyDescent="0.4">
      <c r="A30" s="43">
        <v>42551</v>
      </c>
      <c r="B30" s="28">
        <v>25.7</v>
      </c>
      <c r="C30" s="28">
        <v>23.28</v>
      </c>
      <c r="D30" s="28">
        <v>11.278726726038828</v>
      </c>
      <c r="E30" s="28">
        <v>284.59270983317998</v>
      </c>
      <c r="F30" s="28">
        <v>765.12300000000005</v>
      </c>
      <c r="G30" s="28">
        <v>15.311</v>
      </c>
      <c r="H30" s="60">
        <v>2098.8552265056101</v>
      </c>
      <c r="I30" s="32">
        <v>8667.9402527180337</v>
      </c>
      <c r="J30" s="97"/>
      <c r="K30" s="54"/>
    </row>
    <row r="31" spans="1:11" s="93" customFormat="1" ht="13.15" x14ac:dyDescent="0.4">
      <c r="A31" s="43">
        <v>42460</v>
      </c>
      <c r="B31" s="28">
        <v>23.97</v>
      </c>
      <c r="C31" s="28">
        <v>21.72</v>
      </c>
      <c r="D31" s="28">
        <v>11.041155949644605</v>
      </c>
      <c r="E31" s="28">
        <v>274.03042801957099</v>
      </c>
      <c r="F31" s="28">
        <v>752.77099999999996</v>
      </c>
      <c r="G31" s="28">
        <v>14.475</v>
      </c>
      <c r="H31" s="60">
        <v>2059.7411766011501</v>
      </c>
      <c r="I31" s="32">
        <v>8718.7153627667958</v>
      </c>
      <c r="J31" s="97"/>
      <c r="K31" s="54"/>
    </row>
    <row r="32" spans="1:11" s="33" customFormat="1" ht="13.15" x14ac:dyDescent="0.4">
      <c r="A32" s="43">
        <v>42369</v>
      </c>
      <c r="B32" s="28">
        <v>23.06</v>
      </c>
      <c r="C32" s="28">
        <v>18.7</v>
      </c>
      <c r="D32" s="28">
        <v>11.34909544426143</v>
      </c>
      <c r="E32" s="28">
        <v>288.87468018814099</v>
      </c>
      <c r="F32" s="28">
        <v>740.28700000000003</v>
      </c>
      <c r="G32" s="28">
        <v>18.097000000000001</v>
      </c>
      <c r="H32" s="60">
        <v>2043.9368626607099</v>
      </c>
      <c r="I32" s="32">
        <v>8757.3919584841387</v>
      </c>
      <c r="J32" s="97"/>
      <c r="K32" s="60"/>
    </row>
    <row r="33" spans="1:13" s="27" customFormat="1" ht="13.15" x14ac:dyDescent="0.4">
      <c r="A33" s="43">
        <v>42277</v>
      </c>
      <c r="B33" s="28">
        <v>25.44</v>
      </c>
      <c r="C33" s="28">
        <v>23.22</v>
      </c>
      <c r="D33" s="28">
        <v>10.7908992578251</v>
      </c>
      <c r="E33" s="28">
        <v>283.717152096576</v>
      </c>
      <c r="F33" s="28">
        <v>744.68</v>
      </c>
      <c r="G33" s="28">
        <v>16.494</v>
      </c>
      <c r="H33" s="60">
        <v>1920.0265516397001</v>
      </c>
      <c r="I33" s="32">
        <v>8810.5737632553573</v>
      </c>
      <c r="J33" s="97"/>
      <c r="K33" s="60"/>
      <c r="M33" s="33"/>
    </row>
    <row r="34" spans="1:13" s="27" customFormat="1" ht="13.15" x14ac:dyDescent="0.4">
      <c r="A34" s="43">
        <v>42185</v>
      </c>
      <c r="B34" s="28">
        <v>26.14</v>
      </c>
      <c r="C34" s="28">
        <v>22.8</v>
      </c>
      <c r="D34" s="28">
        <v>10.694788941567241</v>
      </c>
      <c r="E34" s="28">
        <v>281.348521023773</v>
      </c>
      <c r="F34" s="28">
        <v>735.9</v>
      </c>
      <c r="G34" s="28">
        <v>16.11</v>
      </c>
      <c r="H34" s="60">
        <v>2063.1118322236698</v>
      </c>
      <c r="I34" s="32">
        <v>8830.9881238439229</v>
      </c>
      <c r="J34" s="97"/>
      <c r="K34" s="60"/>
      <c r="M34" s="33"/>
    </row>
    <row r="35" spans="1:13" s="27" customFormat="1" ht="13.15" x14ac:dyDescent="0.4">
      <c r="A35" s="43">
        <v>42094</v>
      </c>
      <c r="B35" s="28">
        <v>25.81</v>
      </c>
      <c r="C35" s="28">
        <v>21.81</v>
      </c>
      <c r="D35" s="28">
        <v>10.55310371727637</v>
      </c>
      <c r="E35" s="28">
        <v>273.18781634784602</v>
      </c>
      <c r="F35" s="28">
        <v>729.29100000000005</v>
      </c>
      <c r="G35" s="28">
        <v>15.942</v>
      </c>
      <c r="H35" s="60">
        <v>2067.88724075851</v>
      </c>
      <c r="I35" s="32">
        <v>8851.2460232117392</v>
      </c>
      <c r="J35" s="97"/>
      <c r="K35" s="60"/>
      <c r="M35" s="33"/>
    </row>
    <row r="36" spans="1:13" s="27" customFormat="1" ht="13.15" x14ac:dyDescent="0.4">
      <c r="A36" s="43">
        <v>42004</v>
      </c>
      <c r="B36" s="28">
        <v>26.76</v>
      </c>
      <c r="C36" s="28">
        <v>22.83</v>
      </c>
      <c r="D36" s="28">
        <v>10.471604592804113</v>
      </c>
      <c r="E36" s="28">
        <v>297.91000000000003</v>
      </c>
      <c r="F36" s="28">
        <v>726.95600000000002</v>
      </c>
      <c r="G36" s="28">
        <v>19.837</v>
      </c>
      <c r="H36" s="60">
        <v>2058.9023788568802</v>
      </c>
      <c r="I36" s="32">
        <v>8861.5968892373949</v>
      </c>
      <c r="J36" s="97"/>
      <c r="K36" s="60"/>
      <c r="M36" s="33"/>
    </row>
    <row r="37" spans="1:13" s="27" customFormat="1" ht="13.15" x14ac:dyDescent="0.4">
      <c r="A37" s="43">
        <v>41912</v>
      </c>
      <c r="B37" s="28">
        <v>29.6</v>
      </c>
      <c r="C37" s="28">
        <v>27.47</v>
      </c>
      <c r="D37" s="28">
        <v>10.022504558286219</v>
      </c>
      <c r="E37" s="28">
        <v>293.08999999999997</v>
      </c>
      <c r="F37" s="28">
        <v>736.78</v>
      </c>
      <c r="G37" s="28">
        <v>17.847999999999999</v>
      </c>
      <c r="H37" s="60">
        <v>1972.28514504996</v>
      </c>
      <c r="I37" s="32">
        <v>8882.3475999999991</v>
      </c>
      <c r="J37" s="97"/>
      <c r="K37" s="19"/>
      <c r="M37" s="33"/>
    </row>
    <row r="38" spans="1:13" s="27" customFormat="1" ht="13.15" x14ac:dyDescent="0.4">
      <c r="A38" s="43">
        <v>41820</v>
      </c>
      <c r="B38" s="28">
        <v>29.34</v>
      </c>
      <c r="C38" s="28">
        <v>27.14</v>
      </c>
      <c r="D38" s="28">
        <v>9.7593969785702033</v>
      </c>
      <c r="E38" s="28">
        <v>292.35472100317702</v>
      </c>
      <c r="F38" s="28">
        <v>733.83600000000001</v>
      </c>
      <c r="G38" s="28">
        <v>18.013000000000002</v>
      </c>
      <c r="H38" s="60">
        <v>1960.23124036383</v>
      </c>
      <c r="I38" s="32">
        <v>8878.5441630212063</v>
      </c>
      <c r="J38" s="97"/>
      <c r="K38" s="155"/>
    </row>
    <row r="39" spans="1:13" s="27" customFormat="1" ht="13.15" x14ac:dyDescent="0.4">
      <c r="A39" s="43">
        <v>41729</v>
      </c>
      <c r="B39" s="28">
        <v>27.32</v>
      </c>
      <c r="C39" s="28">
        <v>24.87</v>
      </c>
      <c r="D39" s="28">
        <v>9.1896349630694125</v>
      </c>
      <c r="E39" s="28">
        <v>279.96134939466799</v>
      </c>
      <c r="F39" s="28">
        <v>717.80899999999997</v>
      </c>
      <c r="G39" s="28">
        <v>16.411000000000001</v>
      </c>
      <c r="H39" s="60">
        <v>1872.33517921728</v>
      </c>
      <c r="I39" s="32">
        <v>8919.2166627820607</v>
      </c>
      <c r="J39" s="97"/>
      <c r="K39" s="155"/>
    </row>
    <row r="40" spans="1:13" s="27" customFormat="1" ht="13.15" x14ac:dyDescent="0.4">
      <c r="A40" s="43">
        <v>41639</v>
      </c>
      <c r="B40" s="28">
        <v>28.25</v>
      </c>
      <c r="C40" s="28">
        <v>26.48</v>
      </c>
      <c r="D40" s="28">
        <v>9.5230747966072222</v>
      </c>
      <c r="E40" s="28">
        <v>289.458286214927</v>
      </c>
      <c r="F40" s="28">
        <v>715.83617158315599</v>
      </c>
      <c r="G40" s="28">
        <v>18.456</v>
      </c>
      <c r="H40" s="60">
        <v>1848.3565209419301</v>
      </c>
      <c r="I40" s="32">
        <v>8924.0267757337151</v>
      </c>
      <c r="J40" s="97"/>
      <c r="K40" s="155"/>
    </row>
    <row r="41" spans="1:13" s="27" customFormat="1" ht="13.15" x14ac:dyDescent="0.4">
      <c r="A41" s="43">
        <v>41547</v>
      </c>
      <c r="B41" s="28">
        <v>26.92</v>
      </c>
      <c r="C41" s="28">
        <v>24.63</v>
      </c>
      <c r="D41" s="28">
        <v>8.9085700586745507</v>
      </c>
      <c r="E41" s="28">
        <v>279.41131033663498</v>
      </c>
      <c r="F41" s="28">
        <v>693.21969999999999</v>
      </c>
      <c r="G41" s="28">
        <v>16.643000000000001</v>
      </c>
      <c r="H41" s="60">
        <v>1681.54666211214</v>
      </c>
      <c r="I41" s="32">
        <v>8896.8576688014055</v>
      </c>
      <c r="J41" s="97"/>
      <c r="K41" s="155"/>
    </row>
    <row r="42" spans="1:13" s="27" customFormat="1" ht="13.15" x14ac:dyDescent="0.4">
      <c r="A42" s="43">
        <v>41455</v>
      </c>
      <c r="B42" s="28">
        <v>26.36</v>
      </c>
      <c r="C42" s="28">
        <v>24.87</v>
      </c>
      <c r="D42" s="28">
        <v>8.6063992544553507</v>
      </c>
      <c r="E42" s="28">
        <v>277.16721895853601</v>
      </c>
      <c r="F42" s="28">
        <v>679.15099999999995</v>
      </c>
      <c r="G42" s="28">
        <v>16.253</v>
      </c>
      <c r="H42" s="60">
        <v>1606.27760773726</v>
      </c>
      <c r="I42" s="32">
        <v>8908.7683839313977</v>
      </c>
      <c r="J42" s="97"/>
      <c r="K42" s="155"/>
    </row>
    <row r="43" spans="1:13" s="27" customFormat="1" ht="13.15" x14ac:dyDescent="0.4">
      <c r="A43" s="43">
        <v>41364</v>
      </c>
      <c r="B43" s="28">
        <v>25.77</v>
      </c>
      <c r="C43" s="28">
        <v>24.22</v>
      </c>
      <c r="D43" s="28">
        <v>7.9539999999999997</v>
      </c>
      <c r="E43" s="28">
        <v>270.77348697590099</v>
      </c>
      <c r="F43" s="28">
        <v>679.08799999999997</v>
      </c>
      <c r="G43" s="28">
        <v>14.369</v>
      </c>
      <c r="H43" s="60">
        <v>1569.18587246845</v>
      </c>
      <c r="I43" s="32">
        <v>8908.3277121393021</v>
      </c>
      <c r="J43" s="97"/>
      <c r="K43" s="155"/>
    </row>
    <row r="44" spans="1:13" s="27" customFormat="1" ht="13.15" x14ac:dyDescent="0.4">
      <c r="A44" s="43">
        <v>41274</v>
      </c>
      <c r="B44" s="28">
        <v>23.15</v>
      </c>
      <c r="C44" s="37">
        <v>20.65</v>
      </c>
      <c r="D44" s="28">
        <v>8.9349420680692422</v>
      </c>
      <c r="E44" s="28">
        <v>288.02527242203701</v>
      </c>
      <c r="F44" s="28">
        <v>666.96554487355195</v>
      </c>
      <c r="G44" s="28">
        <v>17.491</v>
      </c>
      <c r="H44" s="60">
        <v>1426.18797808055</v>
      </c>
      <c r="I44" s="32">
        <v>8934.6120189386565</v>
      </c>
      <c r="J44" s="97"/>
      <c r="K44" s="155"/>
    </row>
    <row r="45" spans="1:13" s="27" customFormat="1" ht="13.15" x14ac:dyDescent="0.4">
      <c r="A45" s="43">
        <v>41182</v>
      </c>
      <c r="B45" s="28">
        <v>24</v>
      </c>
      <c r="C45" s="37">
        <v>21.21</v>
      </c>
      <c r="D45" s="28">
        <v>7.7709999999999999</v>
      </c>
      <c r="E45" s="28">
        <v>268.990078023313</v>
      </c>
      <c r="F45" s="28">
        <v>661.92600000000004</v>
      </c>
      <c r="G45" s="28">
        <v>16.222000000000001</v>
      </c>
      <c r="H45" s="60">
        <v>1440.67450263613</v>
      </c>
      <c r="I45" s="32">
        <v>8940.9645026443904</v>
      </c>
      <c r="J45" s="97"/>
      <c r="K45" s="155"/>
    </row>
    <row r="46" spans="1:13" s="27" customFormat="1" ht="13.15" x14ac:dyDescent="0.4">
      <c r="A46" s="43">
        <v>41090</v>
      </c>
      <c r="B46" s="28">
        <v>25.43</v>
      </c>
      <c r="C46" s="37">
        <v>21.62</v>
      </c>
      <c r="D46" s="28">
        <v>7.4520000000000008</v>
      </c>
      <c r="E46" s="28">
        <v>268.02612885919899</v>
      </c>
      <c r="F46" s="28">
        <v>639.44500000000005</v>
      </c>
      <c r="G46" s="28">
        <v>15.685</v>
      </c>
      <c r="H46" s="60">
        <v>1362.1587454406599</v>
      </c>
      <c r="I46" s="32">
        <v>9032.0668731581882</v>
      </c>
      <c r="J46" s="97"/>
      <c r="K46" s="155"/>
    </row>
    <row r="47" spans="1:13" s="33" customFormat="1" ht="13.15" x14ac:dyDescent="0.4">
      <c r="A47" s="43">
        <v>40999</v>
      </c>
      <c r="B47" s="26">
        <v>24.24</v>
      </c>
      <c r="C47" s="37">
        <v>23.03</v>
      </c>
      <c r="D47" s="28">
        <v>7.0889999999999995</v>
      </c>
      <c r="E47" s="83">
        <v>267.32911421688101</v>
      </c>
      <c r="F47" s="28">
        <v>633.04399999999998</v>
      </c>
      <c r="G47" s="28">
        <v>14.33</v>
      </c>
      <c r="H47" s="60">
        <v>1408.46786041941</v>
      </c>
      <c r="I47" s="32">
        <v>9038.3664138794684</v>
      </c>
      <c r="J47" s="97"/>
      <c r="K47" s="155"/>
    </row>
    <row r="48" spans="1:13" s="79" customFormat="1" ht="13.15" x14ac:dyDescent="0.4">
      <c r="A48" s="43">
        <v>40908</v>
      </c>
      <c r="B48" s="26">
        <v>23.73</v>
      </c>
      <c r="C48" s="26">
        <v>20.64</v>
      </c>
      <c r="D48" s="26">
        <v>7.2779999999999996</v>
      </c>
      <c r="E48" s="81">
        <v>272.64031390908002</v>
      </c>
      <c r="F48" s="26">
        <v>613.14099999999996</v>
      </c>
      <c r="G48" s="26">
        <v>16.018999999999998</v>
      </c>
      <c r="H48" s="78">
        <v>1257.60480453436</v>
      </c>
      <c r="I48" s="10">
        <v>9052.9295525719863</v>
      </c>
      <c r="J48" s="97"/>
      <c r="K48" s="155"/>
    </row>
    <row r="49" spans="1:11" s="27" customFormat="1" ht="13.15" x14ac:dyDescent="0.4">
      <c r="A49" s="43">
        <v>40816</v>
      </c>
      <c r="B49" s="26">
        <v>25.29</v>
      </c>
      <c r="C49" s="26">
        <v>22.63</v>
      </c>
      <c r="D49" s="26">
        <v>6.5010000000000003</v>
      </c>
      <c r="E49" s="26">
        <v>265.98951123115501</v>
      </c>
      <c r="F49" s="26">
        <v>613.1832917151894</v>
      </c>
      <c r="G49" s="26">
        <v>15.07</v>
      </c>
      <c r="H49" s="60">
        <v>1131.42036008329</v>
      </c>
      <c r="I49" s="32">
        <v>9106.3778823031171</v>
      </c>
      <c r="J49" s="97"/>
      <c r="K49" s="155"/>
    </row>
    <row r="50" spans="1:11" s="27" customFormat="1" ht="13.15" x14ac:dyDescent="0.4">
      <c r="A50" s="43">
        <v>40724</v>
      </c>
      <c r="B50" s="26">
        <v>24.86</v>
      </c>
      <c r="C50" s="26">
        <v>22.24</v>
      </c>
      <c r="D50" s="26">
        <v>6.4849999999999994</v>
      </c>
      <c r="E50" s="26">
        <v>263.31438175987398</v>
      </c>
      <c r="F50" s="28">
        <v>613.08012017590318</v>
      </c>
      <c r="G50" s="26">
        <v>14.367000000000001</v>
      </c>
      <c r="H50" s="60">
        <v>1320.63904926284</v>
      </c>
      <c r="I50" s="32">
        <v>9102.5309256209111</v>
      </c>
      <c r="J50" s="97"/>
      <c r="K50" s="155"/>
    </row>
    <row r="51" spans="1:11" s="27" customFormat="1" ht="13.15" x14ac:dyDescent="0.4">
      <c r="A51" s="43">
        <v>40633</v>
      </c>
      <c r="B51" s="28">
        <v>22.56</v>
      </c>
      <c r="C51" s="28">
        <v>21.44</v>
      </c>
      <c r="D51" s="28">
        <v>6.1609999999999996</v>
      </c>
      <c r="E51" s="28">
        <v>250.89030199550999</v>
      </c>
      <c r="F51" s="28">
        <v>594.04829271969299</v>
      </c>
      <c r="G51" s="28">
        <v>12.379</v>
      </c>
      <c r="H51" s="60">
        <v>1325.82671751112</v>
      </c>
      <c r="I51" s="32">
        <v>9102.0463785836964</v>
      </c>
      <c r="J51" s="97"/>
      <c r="K51" s="155"/>
    </row>
    <row r="52" spans="1:11" s="33" customFormat="1" ht="13.15" x14ac:dyDescent="0.4">
      <c r="A52" s="43">
        <v>40543</v>
      </c>
      <c r="B52" s="28">
        <v>21.93</v>
      </c>
      <c r="C52" s="28">
        <v>20.67</v>
      </c>
      <c r="D52" s="28">
        <v>6.0340000000000007</v>
      </c>
      <c r="E52" s="28">
        <v>252.73245271247052</v>
      </c>
      <c r="F52" s="28">
        <v>579.14031982866686</v>
      </c>
      <c r="G52" s="28">
        <v>15.988</v>
      </c>
      <c r="H52" s="60">
        <v>1257.63598797798</v>
      </c>
      <c r="I52" s="32">
        <v>9088.3485396189699</v>
      </c>
      <c r="J52" s="97"/>
      <c r="K52" s="155"/>
    </row>
    <row r="53" spans="1:11" s="33" customFormat="1" ht="13.15" x14ac:dyDescent="0.4">
      <c r="A53" s="43">
        <v>40451</v>
      </c>
      <c r="B53" s="28">
        <v>21.56</v>
      </c>
      <c r="C53" s="28">
        <v>19.52</v>
      </c>
      <c r="D53" s="28">
        <v>5.6609999999999996</v>
      </c>
      <c r="E53" s="28">
        <v>240.83775488503525</v>
      </c>
      <c r="F53" s="17">
        <v>567.94647979018941</v>
      </c>
      <c r="G53" s="28"/>
      <c r="H53" s="45">
        <v>1141.20115690593</v>
      </c>
      <c r="I53" s="32">
        <v>9057.378058469867</v>
      </c>
      <c r="J53" s="97"/>
      <c r="K53" s="155"/>
    </row>
    <row r="54" spans="1:11" s="33" customFormat="1" ht="13.15" x14ac:dyDescent="0.4">
      <c r="A54" s="43">
        <v>40359</v>
      </c>
      <c r="B54" s="28">
        <v>20.9</v>
      </c>
      <c r="C54" s="28">
        <v>19.68</v>
      </c>
      <c r="D54" s="28">
        <v>5.5750000000000002</v>
      </c>
      <c r="E54" s="28">
        <v>236.75355514653191</v>
      </c>
      <c r="F54" s="28">
        <v>541.60259896188109</v>
      </c>
      <c r="G54" s="28"/>
      <c r="H54" s="60">
        <v>1030.71008330308</v>
      </c>
      <c r="I54" s="32">
        <v>9044.8147006774816</v>
      </c>
      <c r="J54" s="97"/>
      <c r="K54" s="155"/>
    </row>
    <row r="55" spans="1:11" s="33" customFormat="1" ht="13.15" x14ac:dyDescent="0.4">
      <c r="A55" s="43">
        <v>40268</v>
      </c>
      <c r="B55" s="28">
        <v>19.38</v>
      </c>
      <c r="C55" s="28">
        <v>17.48</v>
      </c>
      <c r="D55" s="28">
        <v>5.4589999999999996</v>
      </c>
      <c r="E55" s="28">
        <v>232.38219753036418</v>
      </c>
      <c r="F55" s="28">
        <v>530.94691410645248</v>
      </c>
      <c r="G55" s="28"/>
      <c r="H55" s="60">
        <v>1169.43119269817</v>
      </c>
      <c r="I55" s="32">
        <v>9030.0347000000002</v>
      </c>
      <c r="J55" s="97"/>
      <c r="K55" s="155"/>
    </row>
    <row r="56" spans="1:11" s="27" customFormat="1" ht="13.15" x14ac:dyDescent="0.4">
      <c r="A56" s="43">
        <v>40178</v>
      </c>
      <c r="B56" s="23">
        <v>17.16</v>
      </c>
      <c r="C56" s="23">
        <v>15.18</v>
      </c>
      <c r="D56" s="28">
        <v>5.6579999999999995</v>
      </c>
      <c r="E56" s="28">
        <v>236.01673819999999</v>
      </c>
      <c r="F56" s="56">
        <v>513.57730084661841</v>
      </c>
      <c r="G56" s="28"/>
      <c r="H56" s="61">
        <v>1115.0999999999999</v>
      </c>
      <c r="I56" s="32">
        <v>8902.8253557231092</v>
      </c>
      <c r="J56" s="97"/>
      <c r="K56" s="155"/>
    </row>
    <row r="57" spans="1:11" s="33" customFormat="1" ht="13.15" x14ac:dyDescent="0.4">
      <c r="A57" s="43">
        <v>40086</v>
      </c>
      <c r="B57" s="55">
        <v>15.78</v>
      </c>
      <c r="C57" s="55">
        <v>14.76</v>
      </c>
      <c r="D57" s="28">
        <v>5.3449999999999998</v>
      </c>
      <c r="E57" s="28">
        <v>227.34055003206151</v>
      </c>
      <c r="F57" s="28">
        <v>498.42921196649672</v>
      </c>
      <c r="G57" s="28"/>
      <c r="H57" s="60">
        <v>1057.0786000000001</v>
      </c>
      <c r="I57" s="32">
        <v>8832.3742000000002</v>
      </c>
      <c r="J57" s="97"/>
      <c r="K57" s="155"/>
    </row>
    <row r="58" spans="1:11" s="33" customFormat="1" ht="13.15" x14ac:dyDescent="0.4">
      <c r="A58" s="43">
        <v>39994</v>
      </c>
      <c r="B58" s="28">
        <v>13.81</v>
      </c>
      <c r="C58" s="28">
        <v>13.51</v>
      </c>
      <c r="D58" s="28">
        <v>5.4420000000000002</v>
      </c>
      <c r="E58" s="28">
        <v>223.24161849502852</v>
      </c>
      <c r="F58" s="28">
        <v>487.68598366842139</v>
      </c>
      <c r="G58" s="28"/>
      <c r="H58" s="60">
        <v>919.32</v>
      </c>
      <c r="I58" s="32">
        <v>8750.8333000000002</v>
      </c>
      <c r="J58" s="97"/>
      <c r="K58" s="155"/>
    </row>
    <row r="59" spans="1:11" s="33" customFormat="1" ht="13.15" x14ac:dyDescent="0.4">
      <c r="A59" s="43">
        <v>39903</v>
      </c>
      <c r="B59" s="28">
        <v>10.11</v>
      </c>
      <c r="C59" s="28">
        <v>7.52</v>
      </c>
      <c r="D59" s="28">
        <v>5.96</v>
      </c>
      <c r="E59" s="17">
        <v>221.79686295628164</v>
      </c>
      <c r="F59" s="28">
        <v>449.42648592524574</v>
      </c>
      <c r="G59" s="28"/>
      <c r="H59" s="60">
        <v>797.86699999999996</v>
      </c>
      <c r="I59" s="32">
        <v>8682.6355000000003</v>
      </c>
      <c r="J59" s="97"/>
      <c r="K59" s="155"/>
    </row>
    <row r="60" spans="1:11" s="2" customFormat="1" ht="13.15" x14ac:dyDescent="0.4">
      <c r="A60" s="43">
        <v>39813</v>
      </c>
      <c r="B60" s="23">
        <v>-0.09</v>
      </c>
      <c r="C60" s="25">
        <v>-23.25</v>
      </c>
      <c r="D60" s="17">
        <v>7.1540000000000008</v>
      </c>
      <c r="E60" s="17">
        <v>230.21</v>
      </c>
      <c r="F60" s="17">
        <v>451.37291648250073</v>
      </c>
      <c r="G60" s="17"/>
      <c r="H60" s="45">
        <v>903.25</v>
      </c>
      <c r="I60" s="10">
        <v>8692.8475999999991</v>
      </c>
      <c r="J60" s="97"/>
      <c r="K60" s="155"/>
    </row>
    <row r="61" spans="1:11" s="2" customFormat="1" ht="13.15" x14ac:dyDescent="0.4">
      <c r="A61" s="43">
        <v>39721</v>
      </c>
      <c r="B61" s="24">
        <v>15.96</v>
      </c>
      <c r="C61" s="24">
        <v>9.73</v>
      </c>
      <c r="D61" s="17">
        <v>7.0380000000000003</v>
      </c>
      <c r="E61" s="17">
        <v>268</v>
      </c>
      <c r="F61" s="17">
        <v>514.60126886877242</v>
      </c>
      <c r="G61" s="17"/>
      <c r="H61" s="45">
        <v>1166.361418</v>
      </c>
      <c r="I61" s="4">
        <v>8729.2458999999999</v>
      </c>
      <c r="J61" s="97"/>
      <c r="K61" s="155"/>
    </row>
    <row r="62" spans="1:11" s="2" customFormat="1" ht="13.15" x14ac:dyDescent="0.4">
      <c r="A62" s="43">
        <v>39629</v>
      </c>
      <c r="B62" s="24">
        <v>17.02</v>
      </c>
      <c r="C62" s="24">
        <v>12.86</v>
      </c>
      <c r="D62" s="17">
        <v>7.1029999999999998</v>
      </c>
      <c r="E62" s="17">
        <v>278.52999999999997</v>
      </c>
      <c r="F62" s="17">
        <v>530.69654458236732</v>
      </c>
      <c r="G62" s="17"/>
      <c r="H62" s="45">
        <v>1280.001</v>
      </c>
      <c r="I62" s="4">
        <v>8720.7541000000001</v>
      </c>
      <c r="J62" s="97"/>
      <c r="K62" s="155"/>
    </row>
    <row r="63" spans="1:11" s="2" customFormat="1" ht="13.15" x14ac:dyDescent="0.4">
      <c r="A63" s="43">
        <v>39538</v>
      </c>
      <c r="B63" s="17">
        <v>16.62</v>
      </c>
      <c r="C63" s="25">
        <v>15.54</v>
      </c>
      <c r="D63" s="17">
        <v>7.0920000000000005</v>
      </c>
      <c r="E63" s="17">
        <v>265.72000000000003</v>
      </c>
      <c r="F63" s="17">
        <v>530.94319319221881</v>
      </c>
      <c r="G63" s="17"/>
      <c r="H63" s="45">
        <v>1322.703</v>
      </c>
      <c r="I63" s="4">
        <v>8702.3924999999999</v>
      </c>
      <c r="J63" s="97"/>
      <c r="K63" s="155"/>
    </row>
    <row r="64" spans="1:11" s="2" customFormat="1" ht="13.15" x14ac:dyDescent="0.4">
      <c r="A64" s="43">
        <v>39447</v>
      </c>
      <c r="B64" s="23">
        <v>15.22</v>
      </c>
      <c r="C64" s="17">
        <v>7.82</v>
      </c>
      <c r="D64" s="17">
        <v>7.6209999999999996</v>
      </c>
      <c r="E64" s="17">
        <v>268.16000000000003</v>
      </c>
      <c r="F64" s="17">
        <v>529.59494130262988</v>
      </c>
      <c r="G64" s="17"/>
      <c r="H64" s="45">
        <v>1468.3552</v>
      </c>
      <c r="I64" s="4">
        <v>8763.4436999999998</v>
      </c>
      <c r="J64" s="97"/>
      <c r="K64" s="155"/>
    </row>
    <row r="65" spans="1:11" s="2" customFormat="1" ht="13.15" x14ac:dyDescent="0.4">
      <c r="A65" s="43">
        <v>39355</v>
      </c>
      <c r="B65" s="23">
        <v>20.87</v>
      </c>
      <c r="C65" s="17">
        <v>15.15</v>
      </c>
      <c r="D65" s="17">
        <v>6.8960000000000008</v>
      </c>
      <c r="E65" s="17">
        <v>258.81</v>
      </c>
      <c r="F65" s="17">
        <v>524.00041600880786</v>
      </c>
      <c r="G65" s="17"/>
      <c r="H65" s="45">
        <v>1526.7470000000001</v>
      </c>
      <c r="I65" s="4">
        <v>8822.4987000000001</v>
      </c>
      <c r="J65" s="97"/>
      <c r="K65" s="155"/>
    </row>
    <row r="66" spans="1:11" s="2" customFormat="1" ht="13.15" x14ac:dyDescent="0.4">
      <c r="A66" s="43">
        <v>39263</v>
      </c>
      <c r="B66" s="17">
        <v>24.06</v>
      </c>
      <c r="C66" s="17">
        <v>21.880744314722936</v>
      </c>
      <c r="D66" s="17">
        <v>6.6930000000000005</v>
      </c>
      <c r="E66" s="17">
        <v>255.63</v>
      </c>
      <c r="F66" s="17">
        <v>516.91282982492737</v>
      </c>
      <c r="G66" s="17"/>
      <c r="H66" s="45">
        <v>1503.3486</v>
      </c>
      <c r="I66" s="4">
        <v>8879.9933999999994</v>
      </c>
      <c r="J66" s="97"/>
      <c r="K66" s="155"/>
    </row>
    <row r="67" spans="1:11" s="2" customFormat="1" ht="13.15" x14ac:dyDescent="0.4">
      <c r="A67" s="43">
        <v>39172</v>
      </c>
      <c r="B67" s="23">
        <v>22.39</v>
      </c>
      <c r="C67" s="17">
        <v>21.33</v>
      </c>
      <c r="D67" s="17">
        <v>6.5220000000000002</v>
      </c>
      <c r="E67" s="17">
        <v>242.48</v>
      </c>
      <c r="F67" s="17">
        <v>508.99357409777878</v>
      </c>
      <c r="G67" s="17"/>
      <c r="H67" s="45">
        <v>1420.864</v>
      </c>
      <c r="I67" s="4">
        <v>8942.6689999999999</v>
      </c>
      <c r="J67" s="97"/>
      <c r="K67" s="155"/>
    </row>
    <row r="68" spans="1:11" s="2" customFormat="1" ht="13.15" x14ac:dyDescent="0.4">
      <c r="A68" s="43">
        <v>39082</v>
      </c>
      <c r="B68" s="23">
        <v>21.99</v>
      </c>
      <c r="C68" s="17">
        <v>20.239999999999998</v>
      </c>
      <c r="D68" s="17">
        <v>6.867</v>
      </c>
      <c r="E68" s="17">
        <v>248.2</v>
      </c>
      <c r="F68" s="17">
        <v>504.39474860000001</v>
      </c>
      <c r="G68" s="17"/>
      <c r="H68" s="45">
        <v>1418.3005000000001</v>
      </c>
      <c r="I68" s="4">
        <v>8974.7255000000005</v>
      </c>
      <c r="J68" s="97"/>
      <c r="K68" s="155"/>
    </row>
    <row r="69" spans="1:11" s="2" customFormat="1" ht="13.15" x14ac:dyDescent="0.4">
      <c r="A69" s="43">
        <v>38990</v>
      </c>
      <c r="B69" s="17">
        <v>23.03</v>
      </c>
      <c r="C69" s="17">
        <v>21.47</v>
      </c>
      <c r="D69" s="17">
        <v>6.0879999999999992</v>
      </c>
      <c r="E69" s="17">
        <v>239.8</v>
      </c>
      <c r="F69" s="17">
        <v>491.9583404</v>
      </c>
      <c r="G69" s="17"/>
      <c r="H69" s="45">
        <v>1335.847</v>
      </c>
      <c r="I69" s="4">
        <v>8997.9269999999997</v>
      </c>
      <c r="J69" s="97"/>
      <c r="K69" s="155"/>
    </row>
    <row r="70" spans="1:11" s="2" customFormat="1" ht="13.15" x14ac:dyDescent="0.4">
      <c r="A70" s="43">
        <v>38898</v>
      </c>
      <c r="B70" s="17">
        <v>21.95</v>
      </c>
      <c r="C70" s="17">
        <v>20.11</v>
      </c>
      <c r="D70" s="17">
        <v>6.0170000000000003</v>
      </c>
      <c r="E70" s="17">
        <v>234.71</v>
      </c>
      <c r="F70" s="57">
        <v>474.91132299999998</v>
      </c>
      <c r="G70" s="17"/>
      <c r="H70" s="62">
        <v>1270.2</v>
      </c>
      <c r="I70" s="4">
        <v>9051.2029000000002</v>
      </c>
      <c r="J70" s="97"/>
      <c r="K70" s="155"/>
    </row>
    <row r="71" spans="1:11" s="2" customFormat="1" ht="13.15" x14ac:dyDescent="0.4">
      <c r="A71" s="43">
        <v>38807</v>
      </c>
      <c r="B71" s="17">
        <v>20.75</v>
      </c>
      <c r="C71" s="17">
        <v>19.690000000000001</v>
      </c>
      <c r="D71" s="17">
        <v>5.9119999999999999</v>
      </c>
      <c r="E71" s="17">
        <v>229.8</v>
      </c>
      <c r="F71" s="17">
        <v>468.62847649999998</v>
      </c>
      <c r="G71" s="17"/>
      <c r="H71" s="45">
        <v>1294.83</v>
      </c>
      <c r="I71" s="4">
        <v>9004.8040999999994</v>
      </c>
      <c r="J71" s="97"/>
      <c r="K71" s="155"/>
    </row>
    <row r="72" spans="1:11" s="2" customFormat="1" ht="13.15" x14ac:dyDescent="0.4">
      <c r="A72" s="43">
        <v>38717</v>
      </c>
      <c r="B72" s="17">
        <v>20.190000000000001</v>
      </c>
      <c r="C72" s="17">
        <v>17.3</v>
      </c>
      <c r="D72" s="17">
        <v>6.0790000000000006</v>
      </c>
      <c r="E72" s="17">
        <v>232.52</v>
      </c>
      <c r="F72" s="17">
        <v>453.06040000000002</v>
      </c>
      <c r="G72" s="17"/>
      <c r="H72" s="45">
        <v>1248.29</v>
      </c>
      <c r="I72" s="4">
        <v>9015.9647999999997</v>
      </c>
      <c r="J72" s="97"/>
      <c r="K72" s="155"/>
    </row>
    <row r="73" spans="1:11" s="2" customFormat="1" ht="13.15" x14ac:dyDescent="0.4">
      <c r="A73" s="43">
        <v>38625</v>
      </c>
      <c r="B73" s="17">
        <v>18.84</v>
      </c>
      <c r="C73" s="17">
        <v>17.39</v>
      </c>
      <c r="D73" s="17">
        <v>5.4290000000000003</v>
      </c>
      <c r="E73" s="17">
        <v>220.9</v>
      </c>
      <c r="F73" s="17">
        <v>441.76600000000002</v>
      </c>
      <c r="G73" s="17"/>
      <c r="H73" s="45">
        <v>1228.81</v>
      </c>
      <c r="I73" s="4">
        <v>9018.9580000000005</v>
      </c>
      <c r="J73" s="97"/>
      <c r="K73" s="155"/>
    </row>
    <row r="74" spans="1:11" s="2" customFormat="1" ht="13.15" x14ac:dyDescent="0.4">
      <c r="A74" s="43">
        <v>38533</v>
      </c>
      <c r="B74" s="17">
        <v>19.420000000000002</v>
      </c>
      <c r="C74" s="17">
        <v>18.29</v>
      </c>
      <c r="D74" s="17">
        <v>5.3639999999999999</v>
      </c>
      <c r="E74" s="17">
        <v>214.8</v>
      </c>
      <c r="F74" s="17">
        <v>436.89609999999999</v>
      </c>
      <c r="G74" s="17"/>
      <c r="H74" s="45">
        <v>1191.33</v>
      </c>
      <c r="I74" s="4">
        <v>9141.0503000000008</v>
      </c>
      <c r="J74" s="97"/>
      <c r="K74" s="155"/>
    </row>
    <row r="75" spans="1:11" s="2" customFormat="1" ht="13.15" x14ac:dyDescent="0.4">
      <c r="A75" s="43">
        <v>38442</v>
      </c>
      <c r="B75" s="17">
        <v>18</v>
      </c>
      <c r="C75" s="17">
        <v>16.850000000000001</v>
      </c>
      <c r="D75" s="17">
        <v>5.3440000000000003</v>
      </c>
      <c r="E75" s="17">
        <v>206.1</v>
      </c>
      <c r="F75" s="17">
        <v>426.7921</v>
      </c>
      <c r="G75" s="17"/>
      <c r="H75" s="45">
        <v>1180.5899999999999</v>
      </c>
      <c r="I75" s="4">
        <v>9164.7469000000001</v>
      </c>
      <c r="J75" s="97"/>
      <c r="K75" s="155"/>
    </row>
    <row r="76" spans="1:11" s="2" customFormat="1" ht="13.15" x14ac:dyDescent="0.4">
      <c r="A76" s="43">
        <v>38352</v>
      </c>
      <c r="B76" s="17">
        <v>17.95</v>
      </c>
      <c r="C76" s="17">
        <v>13.94</v>
      </c>
      <c r="D76" s="17">
        <v>5.3339999999999996</v>
      </c>
      <c r="E76" s="17">
        <v>210.14</v>
      </c>
      <c r="F76" s="17">
        <v>414.74900000000002</v>
      </c>
      <c r="G76" s="17"/>
      <c r="H76" s="45">
        <v>1211.92</v>
      </c>
      <c r="I76" s="4">
        <v>9314.6450000000004</v>
      </c>
      <c r="J76" s="97"/>
      <c r="K76" s="155"/>
    </row>
    <row r="77" spans="1:11" s="2" customFormat="1" ht="13.15" x14ac:dyDescent="0.4">
      <c r="A77" s="43">
        <v>38260</v>
      </c>
      <c r="B77" s="17">
        <v>16.88</v>
      </c>
      <c r="C77" s="17">
        <v>14.18</v>
      </c>
      <c r="D77" s="17">
        <v>4.8830000000000009</v>
      </c>
      <c r="E77" s="17">
        <v>197.06</v>
      </c>
      <c r="F77" s="17">
        <v>402.51560000000001</v>
      </c>
      <c r="G77" s="17"/>
      <c r="H77" s="45">
        <v>1114.58</v>
      </c>
      <c r="I77" s="4">
        <v>9328.8960999999999</v>
      </c>
      <c r="J77" s="97"/>
      <c r="K77" s="155"/>
    </row>
    <row r="78" spans="1:11" s="2" customFormat="1" ht="13.15" x14ac:dyDescent="0.4">
      <c r="A78" s="43">
        <v>38168</v>
      </c>
      <c r="B78" s="17">
        <v>16.98</v>
      </c>
      <c r="C78" s="17">
        <v>15.25</v>
      </c>
      <c r="D78" s="17">
        <v>4.6639999999999997</v>
      </c>
      <c r="E78" s="17">
        <v>193.64</v>
      </c>
      <c r="F78" s="17">
        <v>386.22980000000001</v>
      </c>
      <c r="G78" s="17"/>
      <c r="H78" s="45">
        <v>1140.8399999999999</v>
      </c>
      <c r="I78" s="4">
        <v>9311.9321999999993</v>
      </c>
      <c r="J78" s="97"/>
      <c r="K78" s="155"/>
    </row>
    <row r="79" spans="1:11" s="2" customFormat="1" ht="13.15" x14ac:dyDescent="0.4">
      <c r="A79" s="43">
        <v>38077</v>
      </c>
      <c r="B79" s="17">
        <v>15.87</v>
      </c>
      <c r="C79" s="17">
        <v>15.18</v>
      </c>
      <c r="D79" s="17">
        <v>4.5609999999999999</v>
      </c>
      <c r="E79" s="17">
        <v>187.33</v>
      </c>
      <c r="F79" s="17">
        <v>376.47480000000002</v>
      </c>
      <c r="G79" s="17"/>
      <c r="H79" s="45">
        <v>1126.21</v>
      </c>
      <c r="I79" s="4">
        <v>9288.9621999999999</v>
      </c>
      <c r="J79" s="97"/>
      <c r="K79" s="155"/>
    </row>
    <row r="80" spans="1:11" s="2" customFormat="1" ht="13.15" x14ac:dyDescent="0.4">
      <c r="A80" s="43">
        <v>37986</v>
      </c>
      <c r="B80" s="17">
        <v>14.88</v>
      </c>
      <c r="C80" s="17">
        <v>13.16</v>
      </c>
      <c r="D80" s="17">
        <v>5.0549999999999997</v>
      </c>
      <c r="E80" s="17">
        <v>178.85</v>
      </c>
      <c r="F80" s="17">
        <v>367.1737</v>
      </c>
      <c r="G80" s="17"/>
      <c r="H80" s="45">
        <v>1111.92</v>
      </c>
      <c r="I80" s="4">
        <v>9250.5098999999991</v>
      </c>
      <c r="J80" s="97"/>
      <c r="K80" s="155"/>
    </row>
    <row r="81" spans="1:11" s="2" customFormat="1" ht="13.15" x14ac:dyDescent="0.4">
      <c r="A81" s="43">
        <v>37894</v>
      </c>
      <c r="B81" s="17">
        <v>14.41</v>
      </c>
      <c r="C81" s="17">
        <v>12.56</v>
      </c>
      <c r="D81" s="17">
        <v>4.3220000000000001</v>
      </c>
      <c r="E81" s="17">
        <v>179.6</v>
      </c>
      <c r="F81" s="17">
        <v>351.89240000000001</v>
      </c>
      <c r="G81" s="17"/>
      <c r="H81" s="45">
        <v>995.97</v>
      </c>
      <c r="I81" s="4">
        <v>9244.9465999999993</v>
      </c>
      <c r="J81" s="97"/>
      <c r="K81" s="155"/>
    </row>
    <row r="82" spans="1:11" s="2" customFormat="1" ht="13.15" x14ac:dyDescent="0.4">
      <c r="A82" s="43">
        <v>37802</v>
      </c>
      <c r="B82" s="17">
        <v>12.92</v>
      </c>
      <c r="C82" s="17">
        <v>11.1</v>
      </c>
      <c r="D82" s="17">
        <v>4.0860000000000003</v>
      </c>
      <c r="E82" s="17">
        <v>181.15</v>
      </c>
      <c r="F82" s="17">
        <v>346.3186</v>
      </c>
      <c r="G82" s="17"/>
      <c r="H82" s="45">
        <v>974.5</v>
      </c>
      <c r="I82" s="4">
        <v>9236.5445</v>
      </c>
      <c r="J82" s="97"/>
      <c r="K82" s="155"/>
    </row>
    <row r="83" spans="1:11" ht="13.15" x14ac:dyDescent="0.4">
      <c r="A83" s="43">
        <v>37711</v>
      </c>
      <c r="B83" s="17">
        <v>12.48</v>
      </c>
      <c r="C83" s="17">
        <v>11.92</v>
      </c>
      <c r="D83" s="17">
        <v>3.9220000000000002</v>
      </c>
      <c r="E83" s="17">
        <v>171.21</v>
      </c>
      <c r="F83" s="17">
        <v>328.72280000000001</v>
      </c>
      <c r="G83" s="17"/>
      <c r="H83" s="45">
        <v>848.18</v>
      </c>
      <c r="I83" s="4">
        <v>9227.6358</v>
      </c>
      <c r="J83" s="97"/>
      <c r="K83" s="155"/>
    </row>
    <row r="84" spans="1:11" ht="13.15" x14ac:dyDescent="0.4">
      <c r="A84" s="43">
        <v>37621</v>
      </c>
      <c r="B84" s="17">
        <v>11.94</v>
      </c>
      <c r="C84" s="17">
        <v>3</v>
      </c>
      <c r="D84" s="17">
        <v>4.2560000000000002</v>
      </c>
      <c r="E84" s="17">
        <v>165.94</v>
      </c>
      <c r="F84" s="17">
        <v>321.71940000000001</v>
      </c>
      <c r="G84" s="17"/>
      <c r="H84" s="45">
        <v>879.82</v>
      </c>
      <c r="I84" s="4">
        <v>9214.8461000000007</v>
      </c>
      <c r="J84" s="97"/>
      <c r="K84" s="155"/>
    </row>
    <row r="85" spans="1:11" ht="13.15" x14ac:dyDescent="0.4">
      <c r="A85" s="43">
        <v>37529</v>
      </c>
      <c r="B85" s="17">
        <v>11.61</v>
      </c>
      <c r="C85" s="17">
        <v>8.5299999999999994</v>
      </c>
      <c r="D85" s="17">
        <v>3.9009999999999998</v>
      </c>
      <c r="E85" s="17">
        <v>166.12</v>
      </c>
      <c r="F85" s="17">
        <v>334.91730000000001</v>
      </c>
      <c r="G85" s="17"/>
      <c r="H85" s="45">
        <v>815.28</v>
      </c>
      <c r="I85" s="4">
        <v>9221.83</v>
      </c>
      <c r="J85" s="97"/>
      <c r="K85" s="155"/>
    </row>
    <row r="86" spans="1:11" ht="13.15" x14ac:dyDescent="0.4">
      <c r="A86" s="43">
        <v>37437</v>
      </c>
      <c r="B86" s="17">
        <v>11.64</v>
      </c>
      <c r="C86" s="17">
        <v>6.87</v>
      </c>
      <c r="D86" s="17">
        <v>4.1449999999999996</v>
      </c>
      <c r="E86" s="17">
        <v>175.33</v>
      </c>
      <c r="F86" s="17">
        <v>329.5215</v>
      </c>
      <c r="G86" s="17"/>
      <c r="H86" s="45">
        <v>989.81</v>
      </c>
      <c r="I86" s="4">
        <v>9184.1200000000008</v>
      </c>
      <c r="J86" s="97"/>
      <c r="K86" s="155"/>
    </row>
    <row r="87" spans="1:11" ht="13.15" x14ac:dyDescent="0.4">
      <c r="A87" s="43">
        <v>37346</v>
      </c>
      <c r="B87" s="17">
        <v>10.85</v>
      </c>
      <c r="C87" s="17">
        <v>9.19</v>
      </c>
      <c r="D87" s="17">
        <v>3.7720000000000002</v>
      </c>
      <c r="E87" s="17">
        <v>167.2</v>
      </c>
      <c r="F87" s="17">
        <v>332.74009999999998</v>
      </c>
      <c r="G87" s="17"/>
      <c r="H87" s="45">
        <v>1147.3900000000001</v>
      </c>
      <c r="I87" s="4">
        <v>9152.85</v>
      </c>
      <c r="J87" s="97"/>
      <c r="K87" s="155"/>
    </row>
    <row r="88" spans="1:11" ht="13.15" x14ac:dyDescent="0.4">
      <c r="A88" s="43">
        <v>37256</v>
      </c>
      <c r="B88" s="17">
        <v>9.94</v>
      </c>
      <c r="C88" s="17">
        <v>5.45</v>
      </c>
      <c r="D88" s="17">
        <v>3.9809999999999999</v>
      </c>
      <c r="E88" s="17">
        <v>189.1</v>
      </c>
      <c r="F88" s="17">
        <v>338.37380000000002</v>
      </c>
      <c r="G88" s="17"/>
      <c r="H88" s="45">
        <v>1148.08</v>
      </c>
      <c r="I88" s="4">
        <v>9113.82</v>
      </c>
      <c r="J88" s="97"/>
      <c r="K88" s="155"/>
    </row>
    <row r="89" spans="1:11" ht="13.15" x14ac:dyDescent="0.4">
      <c r="A89" s="43">
        <v>37164</v>
      </c>
      <c r="B89" s="17">
        <v>9.16</v>
      </c>
      <c r="C89" s="17">
        <v>5.23</v>
      </c>
      <c r="D89" s="17">
        <v>4.141</v>
      </c>
      <c r="E89" s="17">
        <v>178.68</v>
      </c>
      <c r="F89" s="17">
        <v>339.3972</v>
      </c>
      <c r="G89" s="17"/>
      <c r="H89" s="45">
        <v>1040.94</v>
      </c>
      <c r="I89" s="4">
        <v>9065.58</v>
      </c>
      <c r="J89" s="97"/>
      <c r="K89" s="155"/>
    </row>
    <row r="90" spans="1:11" ht="13.15" x14ac:dyDescent="0.4">
      <c r="A90" s="43">
        <v>37072</v>
      </c>
      <c r="B90" s="17">
        <v>9.02</v>
      </c>
      <c r="C90" s="17">
        <v>4.83</v>
      </c>
      <c r="D90" s="17">
        <v>3.8359999999999999</v>
      </c>
      <c r="E90" s="17">
        <v>183.03</v>
      </c>
      <c r="F90" s="17">
        <v>345.87369999999999</v>
      </c>
      <c r="G90" s="17"/>
      <c r="H90" s="45">
        <v>1224.3800000000001</v>
      </c>
      <c r="I90" s="4">
        <v>9006.43</v>
      </c>
      <c r="J90" s="97"/>
      <c r="K90" s="155"/>
    </row>
    <row r="91" spans="1:11" ht="13.15" x14ac:dyDescent="0.4">
      <c r="A91" s="43">
        <v>36981</v>
      </c>
      <c r="B91" s="17">
        <v>10.73</v>
      </c>
      <c r="C91" s="17">
        <v>9.18</v>
      </c>
      <c r="D91" s="17">
        <v>3.782</v>
      </c>
      <c r="E91" s="17">
        <v>186.07</v>
      </c>
      <c r="F91" s="17">
        <v>347.25170000000003</v>
      </c>
      <c r="G91" s="17"/>
      <c r="H91" s="45">
        <v>1160.33</v>
      </c>
      <c r="I91" s="4">
        <v>8949.76</v>
      </c>
      <c r="J91" s="97"/>
      <c r="K91" s="155"/>
    </row>
    <row r="92" spans="1:11" ht="13.15" x14ac:dyDescent="0.4">
      <c r="A92" s="43">
        <v>36891</v>
      </c>
      <c r="B92" s="17">
        <v>13.11</v>
      </c>
      <c r="C92" s="17">
        <v>9.07</v>
      </c>
      <c r="D92" s="17">
        <v>3.9769999999999999</v>
      </c>
      <c r="E92" s="17">
        <v>191.03</v>
      </c>
      <c r="F92" s="17">
        <v>325.79849999999999</v>
      </c>
      <c r="G92" s="17"/>
      <c r="H92" s="45">
        <v>1320.28</v>
      </c>
      <c r="I92" s="4">
        <v>8872.7800000000007</v>
      </c>
      <c r="J92" s="97"/>
      <c r="K92" s="155"/>
    </row>
    <row r="93" spans="1:11" ht="13.15" x14ac:dyDescent="0.4">
      <c r="A93" s="43">
        <v>36799</v>
      </c>
      <c r="B93" s="17">
        <v>14.17</v>
      </c>
      <c r="C93" s="17">
        <v>13.71</v>
      </c>
      <c r="D93" s="17">
        <v>4.0909999999999993</v>
      </c>
      <c r="E93" s="17">
        <v>188.1</v>
      </c>
      <c r="F93" s="17">
        <v>319.59530000000001</v>
      </c>
      <c r="G93" s="17"/>
      <c r="H93" s="45">
        <v>1436.51</v>
      </c>
      <c r="I93" s="4">
        <v>8770.4</v>
      </c>
      <c r="J93" s="97"/>
      <c r="K93" s="155"/>
    </row>
    <row r="94" spans="1:11" ht="13.15" x14ac:dyDescent="0.4">
      <c r="A94" s="43">
        <v>36707</v>
      </c>
      <c r="B94" s="17">
        <v>14.88</v>
      </c>
      <c r="C94" s="17">
        <v>13.48</v>
      </c>
      <c r="D94" s="17">
        <v>4.1230000000000002</v>
      </c>
      <c r="E94" s="17">
        <v>186.07</v>
      </c>
      <c r="F94" s="17">
        <v>312.93709999999999</v>
      </c>
      <c r="G94" s="17"/>
      <c r="H94" s="45">
        <v>1454.6</v>
      </c>
      <c r="I94" s="4">
        <v>8582.7099999999991</v>
      </c>
      <c r="J94" s="97"/>
      <c r="K94" s="155"/>
    </row>
    <row r="95" spans="1:11" ht="13.15" x14ac:dyDescent="0.4">
      <c r="A95" s="43">
        <v>36616</v>
      </c>
      <c r="B95" s="17">
        <v>13.97</v>
      </c>
      <c r="C95" s="17">
        <v>13.74</v>
      </c>
      <c r="D95" s="17">
        <v>4.08</v>
      </c>
      <c r="E95" s="17">
        <v>180.5</v>
      </c>
      <c r="F95" s="17">
        <v>295.93579999999997</v>
      </c>
      <c r="G95" s="17"/>
      <c r="H95" s="45">
        <v>1498.58</v>
      </c>
      <c r="I95" s="4">
        <v>8465.4599999999991</v>
      </c>
      <c r="J95" s="97"/>
      <c r="K95" s="155"/>
    </row>
    <row r="96" spans="1:11" ht="13.15" x14ac:dyDescent="0.4">
      <c r="A96" s="43">
        <v>36525</v>
      </c>
      <c r="B96" s="17">
        <v>13.77</v>
      </c>
      <c r="C96" s="17">
        <v>12.77</v>
      </c>
      <c r="D96" s="17">
        <v>4.0529999999999999</v>
      </c>
      <c r="F96" s="17">
        <v>290.68329999999997</v>
      </c>
      <c r="G96" s="17"/>
      <c r="H96" s="45">
        <v>1469.25</v>
      </c>
      <c r="I96" s="4">
        <v>8381.82</v>
      </c>
      <c r="J96" s="97"/>
      <c r="K96" s="155"/>
    </row>
    <row r="97" spans="1:11" ht="13.15" x14ac:dyDescent="0.4">
      <c r="A97" s="43">
        <v>36433</v>
      </c>
      <c r="B97" s="17">
        <v>12.97</v>
      </c>
      <c r="C97" s="17">
        <v>11.93</v>
      </c>
      <c r="D97" s="17">
        <v>4.4480000000000004</v>
      </c>
      <c r="F97" s="17"/>
      <c r="G97" s="17"/>
      <c r="H97" s="45">
        <v>1282.71</v>
      </c>
      <c r="I97" s="4">
        <v>8227.74</v>
      </c>
      <c r="J97" s="97"/>
      <c r="K97" s="155"/>
    </row>
    <row r="98" spans="1:11" ht="13.15" x14ac:dyDescent="0.4">
      <c r="A98" s="43">
        <v>36341</v>
      </c>
      <c r="B98" s="17">
        <v>13.21</v>
      </c>
      <c r="C98" s="17">
        <v>12.51</v>
      </c>
      <c r="D98" s="17">
        <v>4.181</v>
      </c>
      <c r="F98" s="17"/>
      <c r="G98" s="17"/>
      <c r="H98" s="45">
        <v>1372.71</v>
      </c>
      <c r="I98" s="4">
        <v>8182</v>
      </c>
      <c r="J98" s="97"/>
      <c r="K98" s="155"/>
    </row>
    <row r="99" spans="1:11" ht="13.15" x14ac:dyDescent="0.4">
      <c r="A99" s="43">
        <v>36250</v>
      </c>
      <c r="B99" s="17">
        <v>11.73</v>
      </c>
      <c r="C99" s="17">
        <v>10.96</v>
      </c>
      <c r="D99" s="17">
        <v>4.01</v>
      </c>
      <c r="F99" s="17"/>
      <c r="G99" s="17"/>
      <c r="H99" s="45">
        <v>1286.3699999999999</v>
      </c>
      <c r="I99" s="4">
        <v>8172.68</v>
      </c>
      <c r="J99" s="97"/>
      <c r="K99" s="155"/>
    </row>
    <row r="100" spans="1:11" ht="13.15" x14ac:dyDescent="0.4">
      <c r="A100" s="43">
        <v>36160</v>
      </c>
      <c r="B100" s="17">
        <v>11.47</v>
      </c>
      <c r="C100" s="17">
        <v>8.56</v>
      </c>
      <c r="D100" s="17">
        <v>4.0019999999999998</v>
      </c>
      <c r="F100" s="17"/>
      <c r="G100" s="17"/>
      <c r="H100" s="45">
        <v>1229.23</v>
      </c>
      <c r="I100" s="4">
        <v>8088.29</v>
      </c>
      <c r="J100" s="97"/>
      <c r="K100" s="155"/>
    </row>
    <row r="101" spans="1:11" ht="13.15" x14ac:dyDescent="0.4">
      <c r="A101" s="43">
        <v>36068</v>
      </c>
      <c r="B101" s="17">
        <v>10.45</v>
      </c>
      <c r="C101" s="17">
        <v>8.99</v>
      </c>
      <c r="D101" s="17">
        <v>4.2549999999999999</v>
      </c>
      <c r="F101" s="17"/>
      <c r="G101" s="17"/>
      <c r="H101" s="45">
        <v>1017.01</v>
      </c>
      <c r="I101" s="4">
        <v>7989.24</v>
      </c>
      <c r="J101" s="97"/>
      <c r="K101" s="155"/>
    </row>
    <row r="102" spans="1:11" ht="13.15" x14ac:dyDescent="0.4">
      <c r="A102" s="43">
        <v>35976</v>
      </c>
      <c r="B102" s="17">
        <v>11.43</v>
      </c>
      <c r="C102" s="17">
        <v>9.8699999999999992</v>
      </c>
      <c r="D102" s="17">
        <v>4.1819999999999995</v>
      </c>
      <c r="F102" s="17"/>
      <c r="G102" s="17"/>
      <c r="H102" s="45">
        <v>1133.8399999999999</v>
      </c>
      <c r="I102" s="4">
        <v>7898.5</v>
      </c>
      <c r="J102" s="97"/>
      <c r="K102" s="155"/>
    </row>
    <row r="103" spans="1:11" ht="13.15" x14ac:dyDescent="0.4">
      <c r="A103" s="43">
        <v>35885</v>
      </c>
      <c r="B103" s="17">
        <v>10.92</v>
      </c>
      <c r="C103" s="17">
        <v>10.29</v>
      </c>
      <c r="D103" s="17">
        <v>3.7560000000000002</v>
      </c>
      <c r="F103" s="17"/>
      <c r="G103" s="17"/>
      <c r="H103" s="45">
        <v>1101.75</v>
      </c>
      <c r="I103" s="4">
        <v>7829.71</v>
      </c>
      <c r="J103" s="97"/>
      <c r="K103" s="155"/>
    </row>
    <row r="104" spans="1:11" ht="13.15" x14ac:dyDescent="0.4">
      <c r="A104" s="43">
        <v>35795</v>
      </c>
      <c r="B104" s="17">
        <v>11.29</v>
      </c>
      <c r="C104" s="17">
        <v>8.94</v>
      </c>
      <c r="D104" s="17">
        <v>3.95</v>
      </c>
      <c r="F104" s="17"/>
      <c r="G104" s="17"/>
      <c r="H104" s="45">
        <v>970.43</v>
      </c>
      <c r="I104" s="4">
        <v>7784.88</v>
      </c>
      <c r="J104" s="97"/>
      <c r="K104" s="155"/>
    </row>
    <row r="105" spans="1:11" ht="13.15" x14ac:dyDescent="0.4">
      <c r="A105" s="43">
        <v>35703</v>
      </c>
      <c r="B105" s="17">
        <v>11.03</v>
      </c>
      <c r="C105" s="17">
        <v>9.8699999999999992</v>
      </c>
      <c r="D105" s="17">
        <v>4.0620000000000003</v>
      </c>
      <c r="F105" s="17"/>
      <c r="G105" s="17"/>
      <c r="H105" s="45">
        <v>947.28</v>
      </c>
      <c r="I105" s="4">
        <v>7741.54</v>
      </c>
      <c r="J105" s="97"/>
      <c r="K105" s="155"/>
    </row>
    <row r="106" spans="1:11" ht="13.15" x14ac:dyDescent="0.4">
      <c r="A106" s="43">
        <v>35611</v>
      </c>
      <c r="B106" s="17">
        <v>11.13</v>
      </c>
      <c r="C106" s="17">
        <v>10.44</v>
      </c>
      <c r="D106" s="17">
        <v>3.8730000000000002</v>
      </c>
      <c r="F106" s="17"/>
      <c r="G106" s="17"/>
      <c r="H106" s="45">
        <v>885.14</v>
      </c>
      <c r="I106" s="4">
        <v>7673.57</v>
      </c>
      <c r="J106" s="97"/>
      <c r="K106" s="155"/>
    </row>
    <row r="107" spans="1:11" ht="13.15" x14ac:dyDescent="0.4">
      <c r="A107" s="43">
        <v>35520</v>
      </c>
      <c r="B107" s="17">
        <v>10.56</v>
      </c>
      <c r="C107" s="17">
        <v>10.47</v>
      </c>
      <c r="D107" s="17">
        <v>3.6120000000000001</v>
      </c>
      <c r="F107" s="17"/>
      <c r="G107" s="17"/>
      <c r="H107" s="45">
        <v>757.12</v>
      </c>
      <c r="I107" s="4">
        <v>7655.79</v>
      </c>
      <c r="J107" s="97"/>
      <c r="K107" s="155"/>
    </row>
    <row r="108" spans="1:11" ht="13.15" x14ac:dyDescent="0.4">
      <c r="A108" s="43">
        <v>35430</v>
      </c>
      <c r="B108" s="17">
        <v>11.01</v>
      </c>
      <c r="C108" s="17">
        <v>9.86</v>
      </c>
      <c r="D108" s="17">
        <v>3.7859999999999996</v>
      </c>
      <c r="F108" s="17"/>
      <c r="G108" s="17"/>
      <c r="H108" s="45">
        <v>740.74</v>
      </c>
      <c r="I108" s="4">
        <v>7594.79</v>
      </c>
      <c r="J108" s="97"/>
      <c r="K108" s="155"/>
    </row>
    <row r="109" spans="1:11" ht="13.15" x14ac:dyDescent="0.4">
      <c r="A109" s="43">
        <v>35338</v>
      </c>
      <c r="B109" s="17">
        <v>9.92</v>
      </c>
      <c r="C109" s="17">
        <v>9.7799999999999994</v>
      </c>
      <c r="D109" s="17">
        <v>3.89</v>
      </c>
      <c r="F109" s="17"/>
      <c r="G109" s="17"/>
      <c r="H109" s="45">
        <v>687.33</v>
      </c>
      <c r="I109" s="4">
        <v>7573.12</v>
      </c>
      <c r="J109" s="97"/>
      <c r="K109" s="155"/>
    </row>
    <row r="110" spans="1:11" ht="13.15" x14ac:dyDescent="0.4">
      <c r="A110" s="43">
        <v>35246</v>
      </c>
      <c r="B110" s="17">
        <v>10.31</v>
      </c>
      <c r="C110" s="17">
        <v>10.130000000000001</v>
      </c>
      <c r="D110" s="17">
        <v>3.7709999999999999</v>
      </c>
      <c r="F110" s="17"/>
      <c r="G110" s="17"/>
      <c r="H110" s="45">
        <v>670.63</v>
      </c>
      <c r="I110" s="4">
        <v>7550.72</v>
      </c>
      <c r="J110" s="97"/>
      <c r="K110" s="155"/>
    </row>
    <row r="111" spans="1:11" ht="13.15" x14ac:dyDescent="0.4">
      <c r="A111" s="43">
        <v>35155</v>
      </c>
      <c r="B111" s="17">
        <v>9.39</v>
      </c>
      <c r="C111" s="17">
        <v>8.9600000000000009</v>
      </c>
      <c r="D111" s="17">
        <v>3.452</v>
      </c>
      <c r="F111" s="17"/>
      <c r="G111" s="17"/>
      <c r="H111" s="45">
        <v>645.5</v>
      </c>
      <c r="I111" s="4">
        <v>7511.21</v>
      </c>
      <c r="J111" s="97"/>
      <c r="K111" s="155"/>
    </row>
    <row r="112" spans="1:11" ht="13.15" x14ac:dyDescent="0.4">
      <c r="A112" s="43">
        <v>35064</v>
      </c>
      <c r="B112" s="17">
        <v>9.7799999999999994</v>
      </c>
      <c r="C112" s="17">
        <v>7.13</v>
      </c>
      <c r="D112" s="17">
        <v>3.5510000000000002</v>
      </c>
      <c r="F112" s="17"/>
      <c r="G112" s="17"/>
      <c r="H112" s="45">
        <v>615.92999999999995</v>
      </c>
      <c r="I112" s="4">
        <v>7449.38</v>
      </c>
      <c r="J112" s="97"/>
      <c r="K112" s="155"/>
    </row>
    <row r="113" spans="1:11" ht="13.15" x14ac:dyDescent="0.4">
      <c r="A113" s="43">
        <v>34972</v>
      </c>
      <c r="B113" s="17">
        <v>9.7799999999999994</v>
      </c>
      <c r="C113" s="17">
        <v>8.69</v>
      </c>
      <c r="D113" s="17">
        <v>3.4989999999999997</v>
      </c>
      <c r="F113" s="17"/>
      <c r="G113" s="17"/>
      <c r="H113" s="45">
        <v>584.41</v>
      </c>
      <c r="I113" s="4">
        <v>7373.75</v>
      </c>
      <c r="J113" s="97"/>
      <c r="K113" s="155"/>
    </row>
    <row r="114" spans="1:11" ht="13.15" x14ac:dyDescent="0.4">
      <c r="A114" s="43">
        <v>34880</v>
      </c>
      <c r="B114" s="17">
        <v>9.5</v>
      </c>
      <c r="C114" s="17">
        <v>9.26</v>
      </c>
      <c r="D114" s="17">
        <v>3.6019999999999999</v>
      </c>
      <c r="F114" s="17"/>
      <c r="G114" s="17"/>
      <c r="H114" s="45">
        <v>544.75</v>
      </c>
      <c r="I114" s="4">
        <v>7340.26</v>
      </c>
      <c r="J114" s="97"/>
      <c r="K114" s="155"/>
    </row>
    <row r="115" spans="1:11" ht="13.15" x14ac:dyDescent="0.4">
      <c r="A115" s="43">
        <v>34789</v>
      </c>
      <c r="B115" s="17">
        <v>8.64</v>
      </c>
      <c r="C115" s="17">
        <v>8.8800000000000008</v>
      </c>
      <c r="D115" s="17">
        <v>3.1360000000000001</v>
      </c>
      <c r="F115" s="17"/>
      <c r="G115" s="17"/>
      <c r="H115" s="45">
        <v>500.71</v>
      </c>
      <c r="I115" s="4">
        <v>7331.51</v>
      </c>
      <c r="J115" s="97"/>
      <c r="K115" s="155"/>
    </row>
    <row r="116" spans="1:11" ht="13.15" x14ac:dyDescent="0.4">
      <c r="A116" s="43">
        <v>34699</v>
      </c>
      <c r="B116" s="17">
        <v>8.8000000000000007</v>
      </c>
      <c r="C116" s="17">
        <v>8.35</v>
      </c>
      <c r="D116" s="17">
        <v>3.3380000000000001</v>
      </c>
      <c r="F116" s="17"/>
      <c r="G116" s="17"/>
      <c r="H116" s="45">
        <v>459.27</v>
      </c>
      <c r="I116" s="4">
        <v>7285.82</v>
      </c>
      <c r="J116" s="97"/>
      <c r="K116" s="155"/>
    </row>
    <row r="117" spans="1:11" ht="13.15" x14ac:dyDescent="0.4">
      <c r="A117" s="43">
        <v>34607</v>
      </c>
      <c r="B117" s="17">
        <v>8.0299999999999994</v>
      </c>
      <c r="C117" s="17">
        <v>7.94</v>
      </c>
      <c r="D117" s="17">
        <v>3.2850000000000001</v>
      </c>
      <c r="F117" s="17"/>
      <c r="G117" s="17"/>
      <c r="H117" s="45">
        <v>462.71</v>
      </c>
      <c r="I117" s="4">
        <v>7265.69</v>
      </c>
      <c r="J117" s="97"/>
      <c r="K117" s="155"/>
    </row>
    <row r="118" spans="1:11" ht="13.15" x14ac:dyDescent="0.4">
      <c r="A118" s="43">
        <v>34515</v>
      </c>
      <c r="B118" s="17">
        <v>7.75</v>
      </c>
      <c r="C118" s="17">
        <v>7.38</v>
      </c>
      <c r="D118" s="17">
        <v>3.4109999999999996</v>
      </c>
      <c r="F118" s="17"/>
      <c r="G118" s="17"/>
      <c r="H118" s="45">
        <v>444.27</v>
      </c>
      <c r="I118" s="4">
        <v>7211.87</v>
      </c>
      <c r="J118" s="97"/>
      <c r="K118" s="155"/>
    </row>
    <row r="119" spans="1:11" ht="13.15" x14ac:dyDescent="0.4">
      <c r="A119" s="43">
        <v>34424</v>
      </c>
      <c r="B119" s="17">
        <v>7.17</v>
      </c>
      <c r="C119" s="17">
        <v>6.93</v>
      </c>
      <c r="D119" s="17">
        <v>3.1360000000000001</v>
      </c>
      <c r="F119" s="17"/>
      <c r="G119" s="17"/>
      <c r="H119" s="45">
        <v>445.77</v>
      </c>
      <c r="I119" s="4">
        <v>7127.98</v>
      </c>
      <c r="J119" s="97"/>
      <c r="K119" s="155"/>
    </row>
    <row r="120" spans="1:11" ht="13.15" x14ac:dyDescent="0.4">
      <c r="A120" s="43">
        <v>34334</v>
      </c>
      <c r="B120" s="17">
        <v>7.16</v>
      </c>
      <c r="C120" s="17">
        <v>5.08</v>
      </c>
      <c r="D120" s="17">
        <v>3.0910000000000002</v>
      </c>
      <c r="F120" s="17"/>
      <c r="G120" s="17"/>
      <c r="H120" s="45">
        <v>466.45</v>
      </c>
      <c r="I120" s="4">
        <v>7086.53</v>
      </c>
      <c r="J120" s="97"/>
      <c r="K120" s="155"/>
    </row>
    <row r="121" spans="1:11" ht="13.15" x14ac:dyDescent="0.4">
      <c r="A121" s="43">
        <v>34242</v>
      </c>
      <c r="B121" s="17">
        <v>6.92</v>
      </c>
      <c r="C121" s="17">
        <v>5.81</v>
      </c>
      <c r="D121" s="17">
        <v>3.1969999999999996</v>
      </c>
      <c r="F121" s="17"/>
      <c r="G121" s="17"/>
      <c r="H121" s="45">
        <v>458.93</v>
      </c>
      <c r="I121" s="4">
        <v>7011.06</v>
      </c>
      <c r="J121" s="97"/>
      <c r="K121" s="155"/>
    </row>
    <row r="122" spans="1:11" ht="13.15" x14ac:dyDescent="0.4">
      <c r="A122" s="43">
        <v>34150</v>
      </c>
      <c r="B122" s="17">
        <v>6.57</v>
      </c>
      <c r="C122" s="17">
        <v>4.8899999999999997</v>
      </c>
      <c r="D122" s="17">
        <v>3.2829999999999995</v>
      </c>
      <c r="F122" s="17"/>
      <c r="G122" s="17"/>
      <c r="H122" s="45">
        <v>450.53</v>
      </c>
      <c r="I122" s="4">
        <v>6974.55</v>
      </c>
      <c r="J122" s="97"/>
      <c r="K122" s="155"/>
    </row>
    <row r="123" spans="1:11" ht="13.15" x14ac:dyDescent="0.4">
      <c r="A123" s="43">
        <v>34059</v>
      </c>
      <c r="B123" s="17">
        <v>6.25</v>
      </c>
      <c r="C123" s="17">
        <v>6.11</v>
      </c>
      <c r="D123" s="17">
        <v>3.0059999999999998</v>
      </c>
      <c r="F123" s="17"/>
      <c r="G123" s="17"/>
      <c r="H123" s="45">
        <v>451.67</v>
      </c>
      <c r="I123" s="4">
        <v>6947.24</v>
      </c>
      <c r="J123" s="97"/>
      <c r="K123" s="155"/>
    </row>
    <row r="124" spans="1:11" ht="13.15" x14ac:dyDescent="0.4">
      <c r="A124" s="43">
        <v>33969</v>
      </c>
      <c r="B124" s="17">
        <v>5.61</v>
      </c>
      <c r="C124" s="17">
        <v>3.6</v>
      </c>
      <c r="D124" s="17">
        <v>3.0330000000000004</v>
      </c>
      <c r="F124" s="17"/>
      <c r="G124" s="17"/>
      <c r="H124" s="45">
        <v>435.71</v>
      </c>
      <c r="I124" s="4">
        <v>6918.99</v>
      </c>
      <c r="J124" s="97"/>
      <c r="K124" s="155"/>
    </row>
    <row r="125" spans="1:11" ht="13.15" x14ac:dyDescent="0.4">
      <c r="A125" s="43">
        <v>33877</v>
      </c>
      <c r="B125" s="17">
        <v>5.12</v>
      </c>
      <c r="C125" s="17">
        <v>4.7300000000000004</v>
      </c>
      <c r="D125" s="17">
        <v>3.2009999999999996</v>
      </c>
      <c r="F125" s="17"/>
      <c r="G125" s="17"/>
      <c r="H125" s="45">
        <v>417.8</v>
      </c>
      <c r="I125" s="4">
        <v>6900.48</v>
      </c>
      <c r="J125" s="97"/>
      <c r="K125" s="155"/>
    </row>
    <row r="126" spans="1:11" ht="13.15" x14ac:dyDescent="0.4">
      <c r="A126" s="43">
        <v>33785</v>
      </c>
      <c r="B126" s="17">
        <v>5.21</v>
      </c>
      <c r="C126" s="17">
        <v>5.4</v>
      </c>
      <c r="D126" s="17">
        <v>3.2389999999999999</v>
      </c>
      <c r="E126" s="26"/>
      <c r="F126" s="17"/>
      <c r="G126" s="17"/>
      <c r="H126" s="45">
        <v>408.14</v>
      </c>
      <c r="I126" s="4">
        <v>6867.07</v>
      </c>
      <c r="J126" s="97"/>
      <c r="K126" s="155"/>
    </row>
    <row r="127" spans="1:11" ht="13.15" x14ac:dyDescent="0.4">
      <c r="A127" s="43">
        <v>33694</v>
      </c>
      <c r="B127" s="17">
        <v>4.93</v>
      </c>
      <c r="C127" s="17">
        <v>5.36</v>
      </c>
      <c r="D127" s="17">
        <v>2.9119999999999999</v>
      </c>
      <c r="F127" s="17"/>
      <c r="G127" s="17"/>
      <c r="H127" s="45">
        <v>403.69</v>
      </c>
      <c r="I127" s="4">
        <v>6833.95</v>
      </c>
      <c r="J127" s="97"/>
      <c r="K127" s="155"/>
    </row>
    <row r="128" spans="1:11" ht="13.15" x14ac:dyDescent="0.4">
      <c r="A128" s="43">
        <v>33603</v>
      </c>
      <c r="B128" s="17">
        <v>4.63</v>
      </c>
      <c r="C128" s="17">
        <v>2.5499999999999998</v>
      </c>
      <c r="D128" s="17">
        <v>3.0430000000000001</v>
      </c>
      <c r="F128" s="17"/>
      <c r="G128" s="17"/>
      <c r="H128" s="45">
        <v>417.09</v>
      </c>
      <c r="I128" s="4">
        <v>6812.5168999999996</v>
      </c>
      <c r="J128" s="97"/>
      <c r="K128" s="155"/>
    </row>
    <row r="129" spans="1:11" ht="13.15" x14ac:dyDescent="0.4">
      <c r="A129" s="43">
        <v>33511</v>
      </c>
      <c r="B129" s="17">
        <v>5.1100000000000003</v>
      </c>
      <c r="C129" s="17">
        <v>3.74</v>
      </c>
      <c r="D129" s="17">
        <v>3.1259999999999994</v>
      </c>
      <c r="F129" s="17"/>
      <c r="G129" s="17"/>
      <c r="H129" s="45">
        <v>387.86</v>
      </c>
      <c r="I129" s="4">
        <v>6723.09</v>
      </c>
      <c r="J129" s="97"/>
      <c r="K129" s="155"/>
    </row>
    <row r="130" spans="1:11" ht="13.15" x14ac:dyDescent="0.4">
      <c r="A130" s="43">
        <v>33419</v>
      </c>
      <c r="B130" s="17">
        <v>4.79</v>
      </c>
      <c r="C130" s="17">
        <v>4.54</v>
      </c>
      <c r="D130" s="17">
        <v>3.2429999999999999</v>
      </c>
      <c r="F130" s="17"/>
      <c r="G130" s="17"/>
      <c r="H130" s="45">
        <v>371.16</v>
      </c>
      <c r="I130" s="4">
        <v>6685.13</v>
      </c>
      <c r="J130" s="97"/>
      <c r="K130" s="155"/>
    </row>
    <row r="131" spans="1:11" ht="13.15" x14ac:dyDescent="0.4">
      <c r="A131" s="43">
        <v>33328</v>
      </c>
      <c r="B131" s="17">
        <v>4.7699999999999996</v>
      </c>
      <c r="C131" s="17">
        <v>5.14</v>
      </c>
      <c r="D131" s="17">
        <v>2.7909999999999995</v>
      </c>
      <c r="F131" s="17"/>
      <c r="G131" s="17"/>
      <c r="H131" s="45">
        <v>375.22</v>
      </c>
      <c r="I131" s="4">
        <v>6666.67</v>
      </c>
      <c r="J131" s="97"/>
      <c r="K131" s="155"/>
    </row>
    <row r="132" spans="1:11" ht="13.15" x14ac:dyDescent="0.4">
      <c r="A132" s="43">
        <v>33238</v>
      </c>
      <c r="B132" s="17">
        <v>5.01</v>
      </c>
      <c r="C132" s="17">
        <v>4.4000000000000004</v>
      </c>
      <c r="D132" s="17">
        <v>3.1150000000000002</v>
      </c>
      <c r="F132" s="17"/>
      <c r="G132" s="17"/>
      <c r="H132" s="45">
        <v>330.22</v>
      </c>
      <c r="I132" s="4">
        <v>6647.01</v>
      </c>
      <c r="J132" s="97"/>
      <c r="K132" s="155"/>
    </row>
    <row r="133" spans="1:11" ht="13.15" x14ac:dyDescent="0.4">
      <c r="A133" s="43">
        <v>33146</v>
      </c>
      <c r="B133" s="17">
        <v>5.97</v>
      </c>
      <c r="C133" s="17">
        <v>5.33</v>
      </c>
      <c r="D133" s="17">
        <v>2.9980000000000002</v>
      </c>
      <c r="F133" s="17"/>
      <c r="G133" s="17"/>
      <c r="H133" s="45">
        <v>306.05</v>
      </c>
      <c r="I133" s="4">
        <v>6653.1</v>
      </c>
      <c r="J133" s="97"/>
      <c r="K133" s="155"/>
    </row>
    <row r="134" spans="1:11" ht="13.15" x14ac:dyDescent="0.4">
      <c r="A134" s="43">
        <v>33054</v>
      </c>
      <c r="B134" s="17">
        <v>6.06</v>
      </c>
      <c r="C134" s="17">
        <v>6.07</v>
      </c>
      <c r="D134" s="17">
        <v>3.206</v>
      </c>
      <c r="F134" s="17"/>
      <c r="G134" s="17"/>
      <c r="H134" s="45">
        <v>358.02</v>
      </c>
      <c r="I134" s="4">
        <v>6656.02</v>
      </c>
      <c r="J134" s="97"/>
      <c r="K134" s="155"/>
    </row>
    <row r="135" spans="1:11" ht="13.15" x14ac:dyDescent="0.4">
      <c r="A135" s="43">
        <v>32963</v>
      </c>
      <c r="B135" s="17">
        <v>5.61</v>
      </c>
      <c r="C135" s="17">
        <v>5.54</v>
      </c>
      <c r="D135" s="17">
        <v>2.7669999999999999</v>
      </c>
      <c r="F135" s="17"/>
      <c r="G135" s="17"/>
      <c r="H135" s="45">
        <v>339.94</v>
      </c>
      <c r="I135" s="4">
        <v>6669.89</v>
      </c>
      <c r="J135" s="97"/>
      <c r="K135" s="155"/>
    </row>
    <row r="136" spans="1:11" ht="13.15" x14ac:dyDescent="0.4">
      <c r="A136" s="43">
        <v>32873</v>
      </c>
      <c r="B136" s="17">
        <v>5.84</v>
      </c>
      <c r="C136" s="17">
        <v>4.8</v>
      </c>
      <c r="D136" s="17">
        <v>2.863</v>
      </c>
      <c r="F136" s="17"/>
      <c r="G136" s="17"/>
      <c r="H136" s="45">
        <v>353.4</v>
      </c>
      <c r="I136" s="4">
        <v>6697.81</v>
      </c>
      <c r="J136" s="97"/>
      <c r="K136" s="155"/>
    </row>
    <row r="137" spans="1:11" ht="13.15" x14ac:dyDescent="0.4">
      <c r="A137" s="43">
        <v>32781</v>
      </c>
      <c r="B137" s="17">
        <v>5.54</v>
      </c>
      <c r="C137" s="17">
        <v>4.8499999999999996</v>
      </c>
      <c r="D137" s="17">
        <v>2.827</v>
      </c>
      <c r="F137" s="17"/>
      <c r="G137" s="17"/>
      <c r="H137" s="45">
        <v>349.15</v>
      </c>
      <c r="I137" s="4">
        <v>6684.33</v>
      </c>
      <c r="J137" s="97"/>
      <c r="K137" s="155"/>
    </row>
    <row r="138" spans="1:11" ht="13.15" x14ac:dyDescent="0.4">
      <c r="A138" s="43">
        <v>32689</v>
      </c>
      <c r="B138" s="17">
        <v>6.53</v>
      </c>
      <c r="C138" s="17">
        <v>6.48</v>
      </c>
      <c r="D138" s="17">
        <v>2.8609999999999998</v>
      </c>
      <c r="F138" s="17"/>
      <c r="G138" s="17"/>
      <c r="H138" s="45">
        <v>317.98</v>
      </c>
      <c r="I138" s="4">
        <v>6723.45</v>
      </c>
      <c r="J138" s="97"/>
      <c r="K138" s="155"/>
    </row>
    <row r="139" spans="1:11" ht="13.15" x14ac:dyDescent="0.4">
      <c r="A139" s="43">
        <v>32598</v>
      </c>
      <c r="B139" s="17">
        <v>6.41</v>
      </c>
      <c r="C139" s="17">
        <v>6.74</v>
      </c>
      <c r="D139" s="17">
        <v>2.5039999999999996</v>
      </c>
      <c r="F139" s="17"/>
      <c r="G139" s="17"/>
      <c r="H139" s="45">
        <v>294.87</v>
      </c>
      <c r="I139" s="4">
        <v>6731.88</v>
      </c>
      <c r="J139" s="97"/>
      <c r="K139" s="155"/>
    </row>
    <row r="140" spans="1:11" ht="13.15" x14ac:dyDescent="0.4">
      <c r="A140" s="43">
        <v>32508</v>
      </c>
      <c r="B140" s="17">
        <v>6.37</v>
      </c>
      <c r="C140" s="17">
        <v>5.62</v>
      </c>
      <c r="D140" s="17">
        <v>2.5419999999999998</v>
      </c>
      <c r="F140" s="17"/>
      <c r="G140" s="17"/>
      <c r="H140" s="45">
        <v>277.72000000000003</v>
      </c>
      <c r="I140" s="4">
        <v>6829.56</v>
      </c>
      <c r="J140" s="97"/>
      <c r="K140" s="155"/>
    </row>
    <row r="141" spans="1:11" ht="13.15" x14ac:dyDescent="0.4">
      <c r="A141" s="43">
        <v>32416</v>
      </c>
      <c r="B141" s="17">
        <v>6.22</v>
      </c>
      <c r="C141" s="17">
        <v>6.38</v>
      </c>
      <c r="D141" s="17">
        <v>2.4609999999999999</v>
      </c>
      <c r="F141" s="17"/>
      <c r="G141" s="17"/>
      <c r="H141" s="45">
        <v>271.91000000000003</v>
      </c>
      <c r="I141" s="4">
        <v>6930.89</v>
      </c>
      <c r="J141" s="97"/>
      <c r="K141" s="155"/>
    </row>
    <row r="142" spans="1:11" ht="13.15" x14ac:dyDescent="0.4">
      <c r="A142" s="43">
        <v>32324</v>
      </c>
      <c r="B142" s="17">
        <v>6.05</v>
      </c>
      <c r="C142" s="17">
        <v>6.22</v>
      </c>
      <c r="D142" s="17">
        <v>2.504</v>
      </c>
      <c r="F142" s="17"/>
      <c r="G142" s="17"/>
      <c r="H142" s="45">
        <v>273.5</v>
      </c>
      <c r="I142" s="4">
        <v>6956.73</v>
      </c>
      <c r="J142" s="97"/>
      <c r="K142" s="155"/>
    </row>
    <row r="143" spans="1:11" ht="13.15" x14ac:dyDescent="0.4">
      <c r="A143" s="43">
        <v>32233</v>
      </c>
      <c r="B143" s="17">
        <v>5.48</v>
      </c>
      <c r="C143" s="17">
        <v>5.53</v>
      </c>
      <c r="D143" s="17">
        <v>2.2430000000000003</v>
      </c>
      <c r="F143" s="17"/>
      <c r="G143" s="17"/>
      <c r="H143" s="45">
        <v>258.89</v>
      </c>
      <c r="I143" s="4">
        <v>6977.4</v>
      </c>
      <c r="J143" s="97"/>
      <c r="K143" s="155"/>
    </row>
    <row r="146" spans="1:13" s="82" customFormat="1" x14ac:dyDescent="0.35">
      <c r="A146" s="208"/>
      <c r="B146" s="159"/>
      <c r="C146" s="159"/>
      <c r="D146" s="159"/>
      <c r="E146" s="28"/>
      <c r="F146" s="137"/>
      <c r="G146" s="159"/>
      <c r="H146" s="160"/>
      <c r="I146" s="159"/>
      <c r="J146" s="129"/>
      <c r="K146" s="14"/>
    </row>
    <row r="147" spans="1:13" s="82" customFormat="1" x14ac:dyDescent="0.35">
      <c r="A147" s="35"/>
      <c r="B147" s="14"/>
      <c r="C147" s="14"/>
      <c r="D147" s="15"/>
      <c r="E147" s="14"/>
      <c r="F147" s="14"/>
      <c r="G147" s="15"/>
      <c r="H147" s="14"/>
      <c r="I147" s="14"/>
      <c r="J147" s="14"/>
      <c r="K147" s="16"/>
      <c r="L147" s="16"/>
      <c r="M147" s="16"/>
    </row>
    <row r="148" spans="1:13" ht="12.75" customHeight="1" x14ac:dyDescent="0.35">
      <c r="B148"/>
      <c r="C148"/>
      <c r="D148"/>
      <c r="E148"/>
      <c r="F148"/>
      <c r="G148"/>
      <c r="H148"/>
      <c r="I148"/>
      <c r="K148"/>
    </row>
    <row r="149" spans="1:13" x14ac:dyDescent="0.35">
      <c r="B149"/>
      <c r="C149"/>
      <c r="D149"/>
      <c r="E149"/>
      <c r="F149"/>
      <c r="G149"/>
      <c r="H149"/>
      <c r="I149"/>
      <c r="K149"/>
    </row>
    <row r="150" spans="1:13" x14ac:dyDescent="0.35">
      <c r="B150"/>
      <c r="C150"/>
      <c r="D150"/>
      <c r="E150"/>
      <c r="F150"/>
      <c r="G150"/>
      <c r="H150"/>
      <c r="I150"/>
      <c r="K150"/>
    </row>
    <row r="151" spans="1:13" x14ac:dyDescent="0.35">
      <c r="B151"/>
      <c r="C151"/>
      <c r="D151"/>
      <c r="E151"/>
      <c r="F151"/>
      <c r="G151"/>
      <c r="H151"/>
      <c r="I151"/>
      <c r="K151"/>
    </row>
    <row r="152" spans="1:13" x14ac:dyDescent="0.35">
      <c r="B152"/>
      <c r="C152"/>
      <c r="D152"/>
      <c r="E152"/>
      <c r="F152"/>
      <c r="G152"/>
      <c r="H152"/>
      <c r="I152"/>
      <c r="K152"/>
    </row>
    <row r="153" spans="1:13" x14ac:dyDescent="0.35">
      <c r="B153"/>
      <c r="C153"/>
      <c r="D153"/>
      <c r="E153"/>
      <c r="F153"/>
      <c r="G153"/>
      <c r="H153"/>
      <c r="I153"/>
      <c r="K153"/>
    </row>
    <row r="154" spans="1:13" x14ac:dyDescent="0.35">
      <c r="B154"/>
      <c r="C154"/>
      <c r="D154"/>
      <c r="E154"/>
      <c r="F154"/>
      <c r="G154"/>
      <c r="H154"/>
      <c r="I154"/>
      <c r="K154"/>
    </row>
    <row r="155" spans="1:13" x14ac:dyDescent="0.35">
      <c r="B155"/>
      <c r="C155"/>
      <c r="D155"/>
      <c r="E155"/>
      <c r="F155"/>
      <c r="G155"/>
      <c r="H155"/>
      <c r="I155"/>
      <c r="K155"/>
    </row>
    <row r="156" spans="1:13" x14ac:dyDescent="0.35">
      <c r="B156"/>
      <c r="C156"/>
      <c r="D156"/>
      <c r="E156"/>
      <c r="F156"/>
      <c r="G156"/>
      <c r="H156"/>
      <c r="I156"/>
      <c r="K156"/>
    </row>
    <row r="157" spans="1:13" x14ac:dyDescent="0.35">
      <c r="B157"/>
      <c r="C157"/>
      <c r="D157"/>
      <c r="E157"/>
      <c r="F157"/>
      <c r="G157"/>
      <c r="H157"/>
      <c r="I157"/>
      <c r="K157"/>
    </row>
    <row r="158" spans="1:13" x14ac:dyDescent="0.35">
      <c r="B158"/>
      <c r="C158"/>
      <c r="D158"/>
      <c r="E158"/>
      <c r="F158"/>
      <c r="G158"/>
      <c r="H158"/>
      <c r="I158"/>
      <c r="K158"/>
    </row>
    <row r="159" spans="1:13" x14ac:dyDescent="0.35">
      <c r="B159"/>
      <c r="C159"/>
      <c r="D159"/>
      <c r="E159"/>
      <c r="F159"/>
      <c r="G159"/>
      <c r="H159"/>
      <c r="I159"/>
      <c r="K159"/>
    </row>
    <row r="160" spans="1:13" x14ac:dyDescent="0.35">
      <c r="B160"/>
      <c r="C160"/>
      <c r="D160"/>
      <c r="E160"/>
      <c r="F160"/>
      <c r="G160"/>
      <c r="H160"/>
      <c r="I160"/>
      <c r="K160"/>
    </row>
    <row r="161" spans="2:11" x14ac:dyDescent="0.35">
      <c r="B161"/>
      <c r="C161"/>
      <c r="D161"/>
      <c r="E161"/>
      <c r="F161"/>
      <c r="G161"/>
      <c r="H161"/>
      <c r="I161"/>
      <c r="K161"/>
    </row>
    <row r="162" spans="2:11" x14ac:dyDescent="0.35">
      <c r="B162"/>
      <c r="C162"/>
      <c r="D162"/>
      <c r="E162"/>
      <c r="F162"/>
      <c r="G162"/>
      <c r="H162"/>
      <c r="I162"/>
      <c r="K162"/>
    </row>
    <row r="163" spans="2:11" x14ac:dyDescent="0.35">
      <c r="B163"/>
      <c r="C163"/>
      <c r="D163"/>
      <c r="E163"/>
      <c r="F163"/>
      <c r="G163"/>
      <c r="H163"/>
      <c r="I163"/>
      <c r="K163"/>
    </row>
    <row r="164" spans="2:11" x14ac:dyDescent="0.35">
      <c r="B164"/>
      <c r="C164"/>
      <c r="D164"/>
      <c r="E164"/>
      <c r="F164"/>
      <c r="G164"/>
      <c r="H164"/>
      <c r="I164"/>
      <c r="K164"/>
    </row>
    <row r="165" spans="2:11" x14ac:dyDescent="0.35">
      <c r="B165"/>
      <c r="C165"/>
      <c r="D165"/>
      <c r="E165"/>
      <c r="F165"/>
      <c r="G165"/>
      <c r="H165"/>
      <c r="I165"/>
      <c r="K165"/>
    </row>
    <row r="166" spans="2:11" x14ac:dyDescent="0.35">
      <c r="B166"/>
      <c r="C166"/>
      <c r="D166"/>
      <c r="E166"/>
      <c r="F166"/>
      <c r="G166"/>
      <c r="H166"/>
      <c r="I166"/>
      <c r="K166"/>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80"/>
  <sheetViews>
    <sheetView zoomScaleNormal="100" workbookViewId="0">
      <selection activeCell="B1" sqref="B1"/>
    </sheetView>
  </sheetViews>
  <sheetFormatPr defaultColWidth="9.1328125" defaultRowHeight="15" x14ac:dyDescent="0.4"/>
  <cols>
    <col min="1" max="1" width="40.3984375" style="180" customWidth="1"/>
    <col min="2" max="3" width="16.59765625" style="236" bestFit="1" customWidth="1"/>
    <col min="4" max="18" width="10.59765625" style="236" bestFit="1" customWidth="1"/>
    <col min="19" max="46" width="10.59765625" style="180" bestFit="1" customWidth="1"/>
    <col min="47" max="49" width="10.59765625" style="181" bestFit="1" customWidth="1"/>
    <col min="50" max="16384" width="9.1328125" style="181"/>
  </cols>
  <sheetData>
    <row r="1" spans="1:52" s="179" customFormat="1" x14ac:dyDescent="0.4">
      <c r="A1" s="178" t="s">
        <v>149</v>
      </c>
      <c r="B1" s="237"/>
      <c r="C1" s="237"/>
      <c r="D1" s="237"/>
      <c r="E1" s="237"/>
      <c r="F1" s="237"/>
      <c r="G1" s="237"/>
      <c r="H1" s="237"/>
      <c r="I1" s="237"/>
      <c r="J1" s="237"/>
      <c r="K1" s="237"/>
      <c r="L1" s="237"/>
      <c r="M1" s="237"/>
      <c r="N1" s="237"/>
      <c r="O1" s="237"/>
      <c r="P1" s="233"/>
      <c r="Q1" s="233"/>
      <c r="R1" s="233"/>
      <c r="S1" s="178"/>
      <c r="T1" s="178"/>
      <c r="U1" s="178"/>
      <c r="V1" s="178"/>
      <c r="W1" s="178"/>
      <c r="X1" s="178"/>
      <c r="Y1" s="178"/>
      <c r="Z1" s="178"/>
      <c r="AA1" s="178"/>
      <c r="AB1" s="178"/>
      <c r="AC1" s="178"/>
      <c r="AD1" s="178"/>
      <c r="AE1" s="178"/>
      <c r="AF1" s="178"/>
      <c r="AG1" s="178"/>
      <c r="AH1" s="178"/>
      <c r="AI1" s="178"/>
      <c r="AJ1" s="178"/>
      <c r="AK1" s="178"/>
      <c r="AL1" s="178"/>
      <c r="AS1" s="180"/>
      <c r="AT1" s="180"/>
      <c r="AU1" s="180"/>
      <c r="AV1" s="180"/>
      <c r="AW1" s="180"/>
      <c r="AX1" s="181"/>
    </row>
    <row r="2" spans="1:52" s="179" customFormat="1" x14ac:dyDescent="0.4">
      <c r="A2" s="178" t="s">
        <v>150</v>
      </c>
      <c r="B2" s="233"/>
      <c r="C2" s="233"/>
      <c r="D2" s="233"/>
      <c r="E2" s="233"/>
      <c r="F2" s="233"/>
      <c r="G2" s="233"/>
      <c r="H2" s="233"/>
      <c r="I2" s="233"/>
      <c r="J2" s="233"/>
      <c r="K2" s="233"/>
      <c r="L2" s="233"/>
      <c r="M2" s="233"/>
      <c r="N2" s="233"/>
      <c r="O2" s="233"/>
      <c r="P2" s="233"/>
      <c r="Q2" s="233"/>
      <c r="R2" s="233"/>
      <c r="S2" s="178"/>
      <c r="T2" s="178"/>
      <c r="U2" s="178"/>
      <c r="V2" s="178"/>
      <c r="W2" s="178"/>
      <c r="X2" s="178"/>
      <c r="Y2" s="178"/>
      <c r="Z2" s="178"/>
      <c r="AA2" s="178"/>
      <c r="AB2" s="178"/>
      <c r="AC2" s="178"/>
      <c r="AD2" s="178"/>
      <c r="AE2" s="178"/>
      <c r="AF2" s="178"/>
      <c r="AG2" s="178"/>
      <c r="AH2" s="178"/>
      <c r="AI2" s="178"/>
      <c r="AJ2" s="178"/>
      <c r="AK2" s="178"/>
      <c r="AL2" s="178"/>
      <c r="AS2" s="180"/>
      <c r="AT2" s="180"/>
      <c r="AU2" s="180"/>
      <c r="AV2" s="180"/>
      <c r="AW2" s="180"/>
      <c r="AX2" s="181"/>
    </row>
    <row r="3" spans="1:52" s="179" customFormat="1" ht="16.5" customHeight="1" x14ac:dyDescent="0.4">
      <c r="A3" s="179" t="s">
        <v>604</v>
      </c>
      <c r="B3" s="234"/>
      <c r="C3" s="234"/>
      <c r="D3" s="234"/>
      <c r="E3" s="234"/>
      <c r="F3" s="234"/>
      <c r="G3" s="234"/>
      <c r="H3" s="234"/>
      <c r="I3" s="234"/>
      <c r="J3" s="234"/>
      <c r="K3" s="234"/>
      <c r="L3" s="234"/>
      <c r="M3" s="234"/>
      <c r="N3" s="234"/>
      <c r="O3" s="234"/>
      <c r="P3" s="234"/>
      <c r="Q3" s="234"/>
      <c r="R3" s="235"/>
      <c r="AS3" s="180"/>
      <c r="AT3" s="180"/>
      <c r="AU3" s="180"/>
      <c r="AV3" s="180"/>
      <c r="AW3" s="180"/>
      <c r="AX3" s="181"/>
    </row>
    <row r="4" spans="1:52" s="211" customFormat="1" x14ac:dyDescent="0.4">
      <c r="A4" s="180"/>
      <c r="B4" s="236"/>
      <c r="C4" s="236"/>
      <c r="D4" s="236"/>
      <c r="E4" s="236"/>
      <c r="F4" s="236"/>
      <c r="G4" s="236"/>
      <c r="H4" s="236"/>
      <c r="I4" s="236"/>
      <c r="J4" s="236"/>
      <c r="K4" s="236"/>
      <c r="L4" s="236"/>
      <c r="M4" s="236"/>
      <c r="N4" s="182"/>
      <c r="O4" s="236"/>
      <c r="P4" s="236"/>
      <c r="Q4" s="236"/>
      <c r="R4" s="236"/>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210"/>
    </row>
    <row r="5" spans="1:52" s="211" customFormat="1" x14ac:dyDescent="0.4">
      <c r="A5" s="203" t="s">
        <v>199</v>
      </c>
      <c r="B5" s="182" t="s">
        <v>605</v>
      </c>
      <c r="C5" s="182" t="s">
        <v>606</v>
      </c>
      <c r="D5" s="182">
        <v>44621</v>
      </c>
      <c r="E5" s="182">
        <v>44531</v>
      </c>
      <c r="F5" s="182">
        <v>44440</v>
      </c>
      <c r="G5" s="182">
        <v>44348</v>
      </c>
      <c r="H5" s="182">
        <v>44286</v>
      </c>
      <c r="I5" s="182">
        <v>44196</v>
      </c>
      <c r="J5" s="182">
        <v>44104</v>
      </c>
      <c r="K5" s="182">
        <v>43999</v>
      </c>
      <c r="L5" s="182">
        <v>43907</v>
      </c>
      <c r="M5" s="182">
        <v>43816</v>
      </c>
      <c r="N5" s="182">
        <v>43725</v>
      </c>
      <c r="O5" s="182">
        <v>43634</v>
      </c>
      <c r="P5" s="182">
        <v>43543</v>
      </c>
      <c r="Q5" s="182">
        <v>43452</v>
      </c>
      <c r="R5" s="182">
        <v>43361</v>
      </c>
      <c r="S5" s="203">
        <v>43269</v>
      </c>
      <c r="T5" s="203">
        <v>43160</v>
      </c>
      <c r="U5" s="203">
        <v>43070</v>
      </c>
      <c r="V5" s="203">
        <v>42979</v>
      </c>
      <c r="W5" s="203">
        <v>42887</v>
      </c>
      <c r="X5" s="203">
        <v>42795</v>
      </c>
      <c r="Y5" s="203">
        <v>42705</v>
      </c>
      <c r="Z5" s="203">
        <v>42614</v>
      </c>
      <c r="AA5" s="203">
        <v>42522</v>
      </c>
      <c r="AB5" s="203">
        <v>42430</v>
      </c>
      <c r="AC5" s="203">
        <v>42339</v>
      </c>
      <c r="AD5" s="203">
        <v>42248</v>
      </c>
      <c r="AE5" s="203">
        <v>42156</v>
      </c>
      <c r="AF5" s="203">
        <v>42064</v>
      </c>
      <c r="AG5" s="203">
        <v>41974</v>
      </c>
      <c r="AH5" s="203">
        <v>41883</v>
      </c>
      <c r="AI5" s="203">
        <v>41791</v>
      </c>
      <c r="AJ5" s="203">
        <v>41699</v>
      </c>
      <c r="AK5" s="203">
        <v>41609</v>
      </c>
      <c r="AL5" s="203">
        <v>41518</v>
      </c>
      <c r="AM5" s="203">
        <v>41426</v>
      </c>
      <c r="AN5" s="203">
        <v>41334</v>
      </c>
      <c r="AO5" s="203">
        <v>41244</v>
      </c>
      <c r="AP5" s="203">
        <v>41153</v>
      </c>
      <c r="AQ5" s="203">
        <v>41061</v>
      </c>
      <c r="AR5" s="203">
        <v>40969</v>
      </c>
      <c r="AS5" s="203">
        <v>40878</v>
      </c>
      <c r="AT5" s="203">
        <v>40787</v>
      </c>
      <c r="AU5" s="203">
        <v>40695</v>
      </c>
      <c r="AV5" s="203">
        <v>40603</v>
      </c>
      <c r="AW5" s="203">
        <v>40513</v>
      </c>
    </row>
    <row r="6" spans="1:52" x14ac:dyDescent="0.4">
      <c r="A6" s="185" t="s">
        <v>118</v>
      </c>
      <c r="B6" s="186">
        <f>D6/E6-1</f>
        <v>7.0596636020951342E-2</v>
      </c>
      <c r="C6" s="186">
        <f>D6/H6-1</f>
        <v>0.56052787724797049</v>
      </c>
      <c r="D6" s="187">
        <v>128.357164623416</v>
      </c>
      <c r="E6" s="187">
        <v>119.893114086811</v>
      </c>
      <c r="F6" s="187">
        <v>105.45360067275701</v>
      </c>
      <c r="G6" s="187">
        <v>94.334591952815401</v>
      </c>
      <c r="H6" s="187">
        <v>82.252400931008694</v>
      </c>
      <c r="I6" s="187">
        <v>68.103035828590507</v>
      </c>
      <c r="J6" s="187">
        <v>64.892831715026304</v>
      </c>
      <c r="K6" s="187">
        <v>47.889237987548903</v>
      </c>
      <c r="L6" s="187">
        <v>83.886840354310706</v>
      </c>
      <c r="M6" s="187">
        <v>99.371718893190803</v>
      </c>
      <c r="N6" s="187">
        <v>97.544327505671504</v>
      </c>
      <c r="O6" s="187">
        <v>100.022109080899</v>
      </c>
      <c r="P6" s="187">
        <v>90.306393076127307</v>
      </c>
      <c r="Q6" s="187">
        <v>103.194111670289</v>
      </c>
      <c r="R6" s="187">
        <v>104.885739258917</v>
      </c>
      <c r="S6" s="187">
        <v>105.128593769465</v>
      </c>
      <c r="T6" s="187">
        <v>94.707212103943306</v>
      </c>
      <c r="U6" s="187">
        <v>94.697051918106197</v>
      </c>
      <c r="V6" s="187">
        <v>84.488649869875502</v>
      </c>
      <c r="W6" s="187">
        <v>79.173322844944494</v>
      </c>
      <c r="X6" s="187">
        <v>78.522233167826499</v>
      </c>
      <c r="Y6" s="187">
        <v>74.172185163956797</v>
      </c>
      <c r="Z6" s="187">
        <v>70.965468536305494</v>
      </c>
      <c r="AA6" s="187">
        <v>69.285013313122505</v>
      </c>
      <c r="AB6" s="187">
        <v>59.056575266402</v>
      </c>
      <c r="AC6" s="187">
        <v>75.088711295293194</v>
      </c>
      <c r="AD6" s="187">
        <v>86.470322787455103</v>
      </c>
      <c r="AE6" s="187">
        <v>96.044884402133206</v>
      </c>
      <c r="AF6" s="187">
        <v>87.587172383939702</v>
      </c>
      <c r="AG6" s="187">
        <v>117.741631896813</v>
      </c>
      <c r="AH6" s="184">
        <v>140.54682157668901</v>
      </c>
      <c r="AI6" s="184">
        <v>144.23028213520001</v>
      </c>
      <c r="AJ6" s="184">
        <v>137.38053003420799</v>
      </c>
      <c r="AK6" s="184">
        <v>139.27352892401501</v>
      </c>
      <c r="AL6" s="184">
        <v>142.88599656396701</v>
      </c>
      <c r="AM6" s="184">
        <v>138.058581465895</v>
      </c>
      <c r="AN6" s="187">
        <v>134.07322586672601</v>
      </c>
      <c r="AO6" s="187">
        <v>140.72494032489499</v>
      </c>
      <c r="AP6" s="187">
        <v>140.92669980590901</v>
      </c>
      <c r="AQ6" s="187">
        <v>145.38977254168799</v>
      </c>
      <c r="AR6" s="187">
        <v>145.19728893641499</v>
      </c>
      <c r="AS6" s="188">
        <v>143.47080570745899</v>
      </c>
      <c r="AT6" s="188">
        <v>145.57753138512899</v>
      </c>
      <c r="AU6" s="188">
        <v>139.32923769057501</v>
      </c>
      <c r="AV6" s="188">
        <v>128.523320336946</v>
      </c>
      <c r="AW6" s="189">
        <v>117.58509680908894</v>
      </c>
      <c r="AX6" s="189"/>
      <c r="AY6" s="190"/>
      <c r="AZ6" s="184"/>
    </row>
    <row r="7" spans="1:52" x14ac:dyDescent="0.4">
      <c r="A7" s="185" t="s">
        <v>119</v>
      </c>
      <c r="B7" s="186">
        <f t="shared" ref="B7:B17" si="0">D7/E7-1</f>
        <v>3.2011474804829909E-2</v>
      </c>
      <c r="C7" s="186">
        <f t="shared" ref="C7:C17" si="1">D7/H7-1</f>
        <v>0.26002472035027857</v>
      </c>
      <c r="D7" s="187">
        <v>66.894066511571296</v>
      </c>
      <c r="E7" s="187">
        <v>64.819111167559498</v>
      </c>
      <c r="F7" s="187">
        <v>62.584839167805903</v>
      </c>
      <c r="G7" s="187">
        <v>61.159176054104499</v>
      </c>
      <c r="H7" s="187">
        <v>53.0894873974974</v>
      </c>
      <c r="I7" s="187">
        <v>50.497234392481403</v>
      </c>
      <c r="J7" s="187">
        <v>47.454819461944503</v>
      </c>
      <c r="K7" s="187">
        <v>44.675839741583701</v>
      </c>
      <c r="L7" s="187">
        <v>47.176077921873102</v>
      </c>
      <c r="M7" s="187">
        <v>48.623787205487801</v>
      </c>
      <c r="N7" s="187">
        <v>49.589462266215399</v>
      </c>
      <c r="O7" s="187">
        <v>52.948135795092</v>
      </c>
      <c r="P7" s="187">
        <v>48.842071600237901</v>
      </c>
      <c r="Q7" s="187">
        <v>48.877769237742001</v>
      </c>
      <c r="R7" s="187">
        <v>53.404253970969897</v>
      </c>
      <c r="S7" s="187">
        <v>55.615434041495298</v>
      </c>
      <c r="T7" s="187">
        <v>49.322130976870199</v>
      </c>
      <c r="U7" s="187">
        <v>46.993305549469</v>
      </c>
      <c r="V7" s="187">
        <v>43.912873758259899</v>
      </c>
      <c r="W7" s="187">
        <v>46.533504494551302</v>
      </c>
      <c r="X7" s="187">
        <v>44.521801692501199</v>
      </c>
      <c r="Y7" s="187">
        <v>42.3616616126153</v>
      </c>
      <c r="Z7" s="187">
        <v>44.982439801970401</v>
      </c>
      <c r="AA7" s="187">
        <v>47.181408587525802</v>
      </c>
      <c r="AB7" s="187">
        <v>44.343465968179103</v>
      </c>
      <c r="AC7" s="187">
        <v>43.378620448108599</v>
      </c>
      <c r="AD7" s="187">
        <v>44.027386860275001</v>
      </c>
      <c r="AE7" s="187">
        <v>49.1224642337774</v>
      </c>
      <c r="AF7" s="187">
        <v>46.216385007361801</v>
      </c>
      <c r="AG7" s="187">
        <v>48.4734291441317</v>
      </c>
      <c r="AH7" s="184">
        <v>49.894905487995501</v>
      </c>
      <c r="AI7" s="184">
        <v>54.411441421561101</v>
      </c>
      <c r="AJ7" s="184">
        <v>52.300938588412599</v>
      </c>
      <c r="AK7" s="184">
        <v>50.895264215852698</v>
      </c>
      <c r="AL7" s="184">
        <v>50.361637036806101</v>
      </c>
      <c r="AM7" s="184">
        <v>52.116842280278803</v>
      </c>
      <c r="AN7" s="187">
        <v>51.016637747551897</v>
      </c>
      <c r="AO7" s="187">
        <v>48.6287293251699</v>
      </c>
      <c r="AP7" s="187">
        <v>48.382563750107998</v>
      </c>
      <c r="AQ7" s="187">
        <v>50.7345735161582</v>
      </c>
      <c r="AR7" s="187">
        <v>50.2553092610204</v>
      </c>
      <c r="AS7" s="188">
        <v>46.475864514264401</v>
      </c>
      <c r="AT7" s="188">
        <v>50.090198234893897</v>
      </c>
      <c r="AU7" s="188">
        <v>53.5032420603047</v>
      </c>
      <c r="AV7" s="188">
        <v>49.875023451608499</v>
      </c>
      <c r="AW7" s="189">
        <v>45.417926797732484</v>
      </c>
      <c r="AX7" s="189"/>
      <c r="AY7" s="190"/>
      <c r="AZ7" s="184"/>
    </row>
    <row r="8" spans="1:52" x14ac:dyDescent="0.4">
      <c r="A8" s="185" t="s">
        <v>120</v>
      </c>
      <c r="B8" s="186">
        <f t="shared" si="0"/>
        <v>-1.2740266096138764E-2</v>
      </c>
      <c r="C8" s="186">
        <f t="shared" si="1"/>
        <v>0.15997937759149616</v>
      </c>
      <c r="D8" s="187">
        <v>98.295035985972802</v>
      </c>
      <c r="E8" s="187">
        <v>99.563501488398302</v>
      </c>
      <c r="F8" s="187">
        <v>94.423692722311799</v>
      </c>
      <c r="G8" s="187">
        <v>92.497281697217204</v>
      </c>
      <c r="H8" s="187">
        <v>84.738606465630497</v>
      </c>
      <c r="I8" s="187">
        <v>86.61016026371</v>
      </c>
      <c r="J8" s="187">
        <v>80.304819361109196</v>
      </c>
      <c r="K8" s="187">
        <v>71.932085034156202</v>
      </c>
      <c r="L8" s="187">
        <v>84.140461116482598</v>
      </c>
      <c r="M8" s="187">
        <v>94.380281744320101</v>
      </c>
      <c r="N8" s="187">
        <v>93.347291527314596</v>
      </c>
      <c r="O8" s="187">
        <v>96.387472685975496</v>
      </c>
      <c r="P8" s="187">
        <v>91.962983710078106</v>
      </c>
      <c r="Q8" s="187">
        <v>96.3163925184123</v>
      </c>
      <c r="R8" s="187">
        <v>94.000030644744399</v>
      </c>
      <c r="S8" s="187">
        <v>93.743081878254003</v>
      </c>
      <c r="T8" s="187">
        <v>86.880080623265997</v>
      </c>
      <c r="U8" s="187">
        <v>88.914747579979604</v>
      </c>
      <c r="V8" s="187">
        <v>86.365782739767496</v>
      </c>
      <c r="W8" s="187">
        <v>84.999197934081096</v>
      </c>
      <c r="X8" s="187">
        <v>79.061283269753005</v>
      </c>
      <c r="Y8" s="187">
        <v>81.943973467306506</v>
      </c>
      <c r="Z8" s="187">
        <v>79.654084150377898</v>
      </c>
      <c r="AA8" s="187">
        <v>78.635676132900699</v>
      </c>
      <c r="AB8" s="187">
        <v>74.561695185475003</v>
      </c>
      <c r="AC8" s="187">
        <v>77.197389327710397</v>
      </c>
      <c r="AD8" s="187">
        <v>77.045091567613298</v>
      </c>
      <c r="AE8" s="187">
        <v>75.015805924561704</v>
      </c>
      <c r="AF8" s="187">
        <v>71.058684755455005</v>
      </c>
      <c r="AG8" s="187">
        <v>76.951451467075103</v>
      </c>
      <c r="AH8" s="184">
        <v>74.932017994875295</v>
      </c>
      <c r="AI8" s="184">
        <v>74.165583680227797</v>
      </c>
      <c r="AJ8" s="184">
        <v>69.188550154859897</v>
      </c>
      <c r="AK8" s="184">
        <v>72.820429914635298</v>
      </c>
      <c r="AL8" s="184">
        <v>70.820088458887398</v>
      </c>
      <c r="AM8" s="184">
        <v>70.0882125602824</v>
      </c>
      <c r="AN8" s="187">
        <v>66.596117353328296</v>
      </c>
      <c r="AO8" s="187">
        <v>69.750700452733895</v>
      </c>
      <c r="AP8" s="187">
        <v>68.181925025530305</v>
      </c>
      <c r="AQ8" s="187">
        <v>68.888686294677697</v>
      </c>
      <c r="AR8" s="187">
        <v>66.161771738247097</v>
      </c>
      <c r="AS8" s="188">
        <v>68.046780188167105</v>
      </c>
      <c r="AT8" s="188">
        <v>66.589854085708495</v>
      </c>
      <c r="AU8" s="188">
        <v>64.868512336473103</v>
      </c>
      <c r="AV8" s="188">
        <v>60.499241549248303</v>
      </c>
      <c r="AW8" s="189">
        <v>63.911389481222194</v>
      </c>
      <c r="AX8" s="189"/>
      <c r="AY8" s="190"/>
      <c r="AZ8" s="184"/>
    </row>
    <row r="9" spans="1:52" x14ac:dyDescent="0.4">
      <c r="A9" s="185" t="s">
        <v>121</v>
      </c>
      <c r="B9" s="186">
        <f t="shared" si="0"/>
        <v>-8.8490802641933208E-2</v>
      </c>
      <c r="C9" s="186">
        <f t="shared" si="1"/>
        <v>7.7788745420957817E-2</v>
      </c>
      <c r="D9" s="187">
        <v>140.993649125838</v>
      </c>
      <c r="E9" s="187">
        <v>154.681543021723</v>
      </c>
      <c r="F9" s="187">
        <v>139.52557269832499</v>
      </c>
      <c r="G9" s="187">
        <v>139.172680129984</v>
      </c>
      <c r="H9" s="187">
        <v>130.817518483893</v>
      </c>
      <c r="I9" s="187">
        <v>139.725236689441</v>
      </c>
      <c r="J9" s="187">
        <v>143.18337003129599</v>
      </c>
      <c r="K9" s="187">
        <v>120.731587949394</v>
      </c>
      <c r="L9" s="187">
        <v>129.316838920468</v>
      </c>
      <c r="M9" s="187">
        <v>151.72105104321099</v>
      </c>
      <c r="N9" s="187">
        <v>142.02358720911599</v>
      </c>
      <c r="O9" s="187">
        <v>141.26409094151001</v>
      </c>
      <c r="P9" s="187">
        <v>132.21126628229001</v>
      </c>
      <c r="Q9" s="187">
        <v>148.34287589896201</v>
      </c>
      <c r="R9" s="187">
        <v>133.97286907351</v>
      </c>
      <c r="S9" s="187">
        <v>126.131370369354</v>
      </c>
      <c r="T9" s="187">
        <v>119.07496844516299</v>
      </c>
      <c r="U9" s="187">
        <v>129.019932187183</v>
      </c>
      <c r="V9" s="187">
        <v>114.119351222635</v>
      </c>
      <c r="W9" s="187">
        <v>116.070035023362</v>
      </c>
      <c r="X9" s="187">
        <v>111.842922394181</v>
      </c>
      <c r="Y9" s="187">
        <v>121.608105915433</v>
      </c>
      <c r="Z9" s="187">
        <v>112.227270449918</v>
      </c>
      <c r="AA9" s="187">
        <v>112.089612123129</v>
      </c>
      <c r="AB9" s="187">
        <v>105.24907095903001</v>
      </c>
      <c r="AC9" s="187">
        <v>113.767739784515</v>
      </c>
      <c r="AD9" s="187">
        <v>104.682497124058</v>
      </c>
      <c r="AE9" s="187">
        <v>101.611497373728</v>
      </c>
      <c r="AF9" s="187">
        <v>95.114282287360695</v>
      </c>
      <c r="AG9" s="187">
        <v>106.38300021166501</v>
      </c>
      <c r="AH9" s="184">
        <v>98.292401938630704</v>
      </c>
      <c r="AI9" s="184">
        <v>96.786701999504601</v>
      </c>
      <c r="AJ9" s="184">
        <v>91.430566381922503</v>
      </c>
      <c r="AK9" s="184">
        <v>99.917355999993802</v>
      </c>
      <c r="AL9" s="184">
        <v>91.9367294708033</v>
      </c>
      <c r="AM9" s="184">
        <v>89.553920683305904</v>
      </c>
      <c r="AN9" s="187">
        <v>81.202704034317094</v>
      </c>
      <c r="AO9" s="187">
        <v>89.7931522076438</v>
      </c>
      <c r="AP9" s="187">
        <v>79.095963347905695</v>
      </c>
      <c r="AQ9" s="187">
        <v>78.2154831506775</v>
      </c>
      <c r="AR9" s="187">
        <v>76.236453695092095</v>
      </c>
      <c r="AS9" s="188">
        <v>82.926230670206806</v>
      </c>
      <c r="AT9" s="188">
        <v>74.694049806457997</v>
      </c>
      <c r="AU9" s="188">
        <v>74.6071173630787</v>
      </c>
      <c r="AV9" s="188">
        <v>70.263555046704198</v>
      </c>
      <c r="AW9" s="189">
        <v>74.53942758984482</v>
      </c>
      <c r="AX9" s="189"/>
      <c r="AY9" s="190"/>
      <c r="AZ9" s="184"/>
    </row>
    <row r="10" spans="1:52" x14ac:dyDescent="0.4">
      <c r="A10" s="185" t="s">
        <v>122</v>
      </c>
      <c r="B10" s="186">
        <f t="shared" si="0"/>
        <v>-2.1750667719402594E-2</v>
      </c>
      <c r="C10" s="186">
        <f t="shared" si="1"/>
        <v>8.7233040295727537E-2</v>
      </c>
      <c r="D10" s="187">
        <v>118.669010598274</v>
      </c>
      <c r="E10" s="187">
        <v>121.307530383507</v>
      </c>
      <c r="F10" s="187">
        <v>119.751061941782</v>
      </c>
      <c r="G10" s="187">
        <v>112.983606737036</v>
      </c>
      <c r="H10" s="187">
        <v>109.147722889286</v>
      </c>
      <c r="I10" s="187">
        <v>110.089319928423</v>
      </c>
      <c r="J10" s="187">
        <v>107.971224772342</v>
      </c>
      <c r="K10" s="187">
        <v>99.9608780701668</v>
      </c>
      <c r="L10" s="187">
        <v>104.98922876348099</v>
      </c>
      <c r="M10" s="187">
        <v>105.07707968774599</v>
      </c>
      <c r="N10" s="187">
        <v>104.52217804427499</v>
      </c>
      <c r="O10" s="187">
        <v>99.716440995088902</v>
      </c>
      <c r="P10" s="187">
        <v>98.348119491126596</v>
      </c>
      <c r="Q10" s="187">
        <v>100.69443606234</v>
      </c>
      <c r="R10" s="187">
        <v>100.429725293361</v>
      </c>
      <c r="S10" s="187">
        <v>96.144902104976097</v>
      </c>
      <c r="T10" s="187">
        <v>105.17467701792</v>
      </c>
      <c r="U10" s="187">
        <v>108.564256773162</v>
      </c>
      <c r="V10" s="187">
        <v>105.814292118556</v>
      </c>
      <c r="W10" s="187">
        <v>97.930068608824001</v>
      </c>
      <c r="X10" s="187">
        <v>95.904780085350595</v>
      </c>
      <c r="Y10" s="187">
        <v>98.302988165754797</v>
      </c>
      <c r="Z10" s="187">
        <v>96.509859017154298</v>
      </c>
      <c r="AA10" s="187">
        <v>93.452743180732298</v>
      </c>
      <c r="AB10" s="187">
        <v>93.235736366015402</v>
      </c>
      <c r="AC10" s="187">
        <v>95.116698525038004</v>
      </c>
      <c r="AD10" s="187">
        <v>94.361274111650701</v>
      </c>
      <c r="AE10" s="187">
        <v>91.0682093095581</v>
      </c>
      <c r="AF10" s="187">
        <v>89.397424149199495</v>
      </c>
      <c r="AG10" s="187">
        <v>97.262250331009298</v>
      </c>
      <c r="AH10" s="184">
        <v>94.222885226432794</v>
      </c>
      <c r="AI10" s="184">
        <v>92.612120327387402</v>
      </c>
      <c r="AJ10" s="184">
        <v>90.138226239916804</v>
      </c>
      <c r="AK10" s="184">
        <v>94.439782597039795</v>
      </c>
      <c r="AL10" s="184">
        <v>90.2904027883948</v>
      </c>
      <c r="AM10" s="184">
        <v>88.054049610453902</v>
      </c>
      <c r="AN10" s="187">
        <v>87.301380591408503</v>
      </c>
      <c r="AO10" s="187">
        <v>99.046934782741999</v>
      </c>
      <c r="AP10" s="187">
        <v>87.107188177890194</v>
      </c>
      <c r="AQ10" s="187">
        <v>84.242780005852595</v>
      </c>
      <c r="AR10" s="187">
        <v>85.427756856283906</v>
      </c>
      <c r="AS10" s="188">
        <v>88.412244682913098</v>
      </c>
      <c r="AT10" s="188">
        <v>85.247311680811904</v>
      </c>
      <c r="AU10" s="188">
        <v>84.125515193947095</v>
      </c>
      <c r="AV10" s="188">
        <v>79.444394396484498</v>
      </c>
      <c r="AW10" s="189">
        <v>81.592710476968421</v>
      </c>
      <c r="AX10" s="189"/>
      <c r="AY10" s="190"/>
      <c r="AZ10" s="184"/>
    </row>
    <row r="11" spans="1:52" x14ac:dyDescent="0.4">
      <c r="A11" s="185" t="s">
        <v>123</v>
      </c>
      <c r="B11" s="186">
        <f t="shared" si="0"/>
        <v>1.6767585992022882E-2</v>
      </c>
      <c r="C11" s="186">
        <f t="shared" si="1"/>
        <v>0.13869150993292112</v>
      </c>
      <c r="D11" s="187">
        <v>213.84792941606</v>
      </c>
      <c r="E11" s="187">
        <v>210.321348125409</v>
      </c>
      <c r="F11" s="187">
        <v>203.25158668656599</v>
      </c>
      <c r="G11" s="187">
        <v>198.00905708338701</v>
      </c>
      <c r="H11" s="187">
        <v>187.80146119527799</v>
      </c>
      <c r="I11" s="187">
        <v>188.537451153435</v>
      </c>
      <c r="J11" s="187">
        <v>180.559851070495</v>
      </c>
      <c r="K11" s="187">
        <v>166.36685573283901</v>
      </c>
      <c r="L11" s="187">
        <v>172.776420170601</v>
      </c>
      <c r="M11" s="187">
        <v>171.17434614209299</v>
      </c>
      <c r="N11" s="187">
        <v>166.975066891664</v>
      </c>
      <c r="O11" s="187">
        <v>164.951116940736</v>
      </c>
      <c r="P11" s="187">
        <v>158.98442829183199</v>
      </c>
      <c r="Q11" s="187">
        <v>150.588976832127</v>
      </c>
      <c r="R11" s="187">
        <v>150.712838342097</v>
      </c>
      <c r="S11" s="187">
        <v>149.56573208353501</v>
      </c>
      <c r="T11" s="187">
        <v>133.90998652065301</v>
      </c>
      <c r="U11" s="187">
        <v>134.22854463428101</v>
      </c>
      <c r="V11" s="187">
        <v>129.074177177872</v>
      </c>
      <c r="W11" s="187">
        <v>129.12594835486601</v>
      </c>
      <c r="X11" s="187">
        <v>125.074797395144</v>
      </c>
      <c r="Y11" s="187">
        <v>126.76458496931301</v>
      </c>
      <c r="Z11" s="187">
        <v>123.89737709788</v>
      </c>
      <c r="AA11" s="187">
        <v>126.098048838314</v>
      </c>
      <c r="AB11" s="187">
        <v>121.423135589663</v>
      </c>
      <c r="AC11" s="187">
        <v>121.808925717016</v>
      </c>
      <c r="AD11" s="187">
        <v>117.833345003582</v>
      </c>
      <c r="AE11" s="187">
        <v>114.851763704532</v>
      </c>
      <c r="AF11" s="187">
        <v>109.75842739071101</v>
      </c>
      <c r="AG11" s="187">
        <v>109.14359313669</v>
      </c>
      <c r="AH11" s="184">
        <v>104.817729976716</v>
      </c>
      <c r="AI11" s="184">
        <v>104.61395621155199</v>
      </c>
      <c r="AJ11" s="184">
        <v>96.7009244005406</v>
      </c>
      <c r="AK11" s="184">
        <v>96.616857193602002</v>
      </c>
      <c r="AL11" s="184">
        <v>92.930288523044197</v>
      </c>
      <c r="AM11" s="184">
        <v>92.217690757796106</v>
      </c>
      <c r="AN11" s="187">
        <v>90.844011880614104</v>
      </c>
      <c r="AO11" s="187">
        <v>91.127389389358399</v>
      </c>
      <c r="AP11" s="187">
        <v>87.034847121216998</v>
      </c>
      <c r="AQ11" s="187">
        <v>88.428171693948201</v>
      </c>
      <c r="AR11" s="187">
        <v>88.435346769979901</v>
      </c>
      <c r="AS11" s="188">
        <v>88.656183128700604</v>
      </c>
      <c r="AT11" s="188">
        <v>85.873704670892906</v>
      </c>
      <c r="AU11" s="188">
        <v>85.022508996384602</v>
      </c>
      <c r="AV11" s="188">
        <v>82.193681390382494</v>
      </c>
      <c r="AW11" s="189">
        <v>81.992865290605479</v>
      </c>
      <c r="AX11" s="189"/>
      <c r="AY11" s="190"/>
      <c r="AZ11" s="184"/>
    </row>
    <row r="12" spans="1:52" x14ac:dyDescent="0.4">
      <c r="A12" s="185" t="s">
        <v>124</v>
      </c>
      <c r="B12" s="186">
        <f t="shared" si="0"/>
        <v>-0.10215290189169912</v>
      </c>
      <c r="C12" s="186">
        <f t="shared" si="1"/>
        <v>-6.0563347238909992E-3</v>
      </c>
      <c r="D12" s="187">
        <v>60.175396976882702</v>
      </c>
      <c r="E12" s="187">
        <v>67.021876111943698</v>
      </c>
      <c r="F12" s="187">
        <v>61.465847498283601</v>
      </c>
      <c r="G12" s="187">
        <v>62.980757654597802</v>
      </c>
      <c r="H12" s="187">
        <v>60.542059956855297</v>
      </c>
      <c r="I12" s="187">
        <v>61.867064933119501</v>
      </c>
      <c r="J12" s="187">
        <v>59.482365030278899</v>
      </c>
      <c r="K12" s="187">
        <v>59.488390121630999</v>
      </c>
      <c r="L12" s="187">
        <v>48.381107636020602</v>
      </c>
      <c r="M12" s="187">
        <v>62.683276420060601</v>
      </c>
      <c r="N12" s="187">
        <v>59.940329830866602</v>
      </c>
      <c r="O12" s="187">
        <v>59.482142554686</v>
      </c>
      <c r="P12" s="187">
        <v>58.900503328456502</v>
      </c>
      <c r="Q12" s="187">
        <v>50.986285495551797</v>
      </c>
      <c r="R12" s="187">
        <v>55.937454231577</v>
      </c>
      <c r="S12" s="187">
        <v>54.434367379384902</v>
      </c>
      <c r="T12" s="187">
        <v>50.774026291923697</v>
      </c>
      <c r="U12" s="187">
        <v>49.808945081791798</v>
      </c>
      <c r="V12" s="187">
        <v>49.4860258315544</v>
      </c>
      <c r="W12" s="187">
        <v>47.904532104519397</v>
      </c>
      <c r="X12" s="187">
        <v>47.450309202909601</v>
      </c>
      <c r="Y12" s="187">
        <v>45.2274147926016</v>
      </c>
      <c r="Z12" s="187">
        <v>46.249737587533701</v>
      </c>
      <c r="AA12" s="187">
        <v>38.2220932721387</v>
      </c>
      <c r="AB12" s="187">
        <v>36.859879766390698</v>
      </c>
      <c r="AC12" s="187">
        <v>37.364893296564702</v>
      </c>
      <c r="AD12" s="187">
        <v>37.690936468703299</v>
      </c>
      <c r="AE12" s="187">
        <v>37.700213241690101</v>
      </c>
      <c r="AF12" s="187">
        <v>37.6580172223468</v>
      </c>
      <c r="AG12" s="187">
        <v>36.952628806675698</v>
      </c>
      <c r="AH12" s="184">
        <v>37.268855295182298</v>
      </c>
      <c r="AI12" s="184">
        <v>37.435928676236799</v>
      </c>
      <c r="AJ12" s="184">
        <v>36.467039012235297</v>
      </c>
      <c r="AK12" s="184">
        <v>36.7885285047605</v>
      </c>
      <c r="AL12" s="184">
        <v>35.706574944841002</v>
      </c>
      <c r="AM12" s="184">
        <v>36.826414214321503</v>
      </c>
      <c r="AN12" s="187">
        <v>36.973733562176697</v>
      </c>
      <c r="AO12" s="187">
        <v>40.4788530750074</v>
      </c>
      <c r="AP12" s="187">
        <v>36.518890299300701</v>
      </c>
      <c r="AQ12" s="187">
        <v>35.259198050948797</v>
      </c>
      <c r="AR12" s="187">
        <v>35.459509578709799</v>
      </c>
      <c r="AS12" s="188">
        <v>35.0489958772704</v>
      </c>
      <c r="AT12" s="188">
        <v>35.8364870608779</v>
      </c>
      <c r="AU12" s="188">
        <v>37.093206908758297</v>
      </c>
      <c r="AV12" s="188">
        <v>36.086854722935698</v>
      </c>
      <c r="AW12" s="189">
        <v>37.672175524349882</v>
      </c>
      <c r="AX12" s="189"/>
      <c r="AY12" s="190"/>
      <c r="AZ12" s="184"/>
    </row>
    <row r="13" spans="1:52" x14ac:dyDescent="0.4">
      <c r="A13" s="185" t="s">
        <v>125</v>
      </c>
      <c r="B13" s="186">
        <f t="shared" si="0"/>
        <v>-3.2086067938162266E-2</v>
      </c>
      <c r="C13" s="186">
        <f t="shared" si="1"/>
        <v>0.11994169310077263</v>
      </c>
      <c r="D13" s="187">
        <v>107.142425605771</v>
      </c>
      <c r="E13" s="187">
        <v>110.694166140927</v>
      </c>
      <c r="F13" s="187">
        <v>99.783124728086094</v>
      </c>
      <c r="G13" s="187">
        <v>97.5516588724077</v>
      </c>
      <c r="H13" s="187">
        <v>95.667860448276301</v>
      </c>
      <c r="I13" s="187">
        <v>101.322853247881</v>
      </c>
      <c r="J13" s="187">
        <v>83.986199914554007</v>
      </c>
      <c r="K13" s="187">
        <v>79.873167982643295</v>
      </c>
      <c r="L13" s="187">
        <v>78.032198364601001</v>
      </c>
      <c r="M13" s="187">
        <v>89.781971497150494</v>
      </c>
      <c r="N13" s="187">
        <v>79.341273887589693</v>
      </c>
      <c r="O13" s="187">
        <v>75.782408997777097</v>
      </c>
      <c r="P13" s="187">
        <v>73.473369139292004</v>
      </c>
      <c r="Q13" s="187">
        <v>82.475560406714607</v>
      </c>
      <c r="R13" s="187">
        <v>75.539312122458</v>
      </c>
      <c r="S13" s="187">
        <v>67.471519215516906</v>
      </c>
      <c r="T13" s="187">
        <v>66.765125470278505</v>
      </c>
      <c r="U13" s="187">
        <v>73.753008928510198</v>
      </c>
      <c r="V13" s="187">
        <v>61.717074021621798</v>
      </c>
      <c r="W13" s="187">
        <v>58.494544761545399</v>
      </c>
      <c r="X13" s="187">
        <v>56.677592334911203</v>
      </c>
      <c r="Y13" s="187">
        <v>64.011329003532794</v>
      </c>
      <c r="Z13" s="187">
        <v>55.042040410928401</v>
      </c>
      <c r="AA13" s="187">
        <v>53.053468303616697</v>
      </c>
      <c r="AB13" s="187">
        <v>52.947592908068799</v>
      </c>
      <c r="AC13" s="187">
        <v>59.973307115115603</v>
      </c>
      <c r="AD13" s="187">
        <v>52.8757593118222</v>
      </c>
      <c r="AE13" s="187">
        <v>52.226359133909199</v>
      </c>
      <c r="AF13" s="187">
        <v>52.933228683001701</v>
      </c>
      <c r="AG13" s="187">
        <v>62.420591685595902</v>
      </c>
      <c r="AH13" s="184">
        <v>54.510108904078798</v>
      </c>
      <c r="AI13" s="184">
        <v>53.517487626812802</v>
      </c>
      <c r="AJ13" s="184">
        <v>50.230567658759597</v>
      </c>
      <c r="AK13" s="184">
        <v>54.666409748134299</v>
      </c>
      <c r="AL13" s="184">
        <v>48.8580472335533</v>
      </c>
      <c r="AM13" s="184">
        <v>50.499135368111801</v>
      </c>
      <c r="AN13" s="187">
        <v>51.408111499766797</v>
      </c>
      <c r="AO13" s="187">
        <v>55.242552659187098</v>
      </c>
      <c r="AP13" s="187">
        <v>49.1745919840113</v>
      </c>
      <c r="AQ13" s="187">
        <v>49.368115256853102</v>
      </c>
      <c r="AR13" s="187">
        <v>49.522280867304801</v>
      </c>
      <c r="AS13" s="188">
        <v>52.444985697905203</v>
      </c>
      <c r="AT13" s="188">
        <v>46.896310241337801</v>
      </c>
      <c r="AU13" s="188">
        <v>46.259175347561097</v>
      </c>
      <c r="AV13" s="188">
        <v>44.092128909488203</v>
      </c>
      <c r="AW13" s="189">
        <v>45.73015003916413</v>
      </c>
      <c r="AX13" s="189"/>
      <c r="AY13" s="190"/>
      <c r="AZ13" s="184"/>
    </row>
    <row r="14" spans="1:52" x14ac:dyDescent="0.4">
      <c r="A14" s="185" t="s">
        <v>397</v>
      </c>
      <c r="B14" s="186">
        <f t="shared" si="0"/>
        <v>-6.660179569262592E-2</v>
      </c>
      <c r="C14" s="186">
        <f t="shared" si="1"/>
        <v>8.0693368473249372E-2</v>
      </c>
      <c r="D14" s="187">
        <v>17.433623203103899</v>
      </c>
      <c r="E14" s="187">
        <v>18.677583825051901</v>
      </c>
      <c r="F14" s="187">
        <v>17.110338212761199</v>
      </c>
      <c r="G14" s="187">
        <v>17.007169149862602</v>
      </c>
      <c r="H14" s="187">
        <v>16.131886908618</v>
      </c>
      <c r="I14" s="187">
        <v>16.7270648067949</v>
      </c>
      <c r="J14" s="187">
        <v>14.681189238991101</v>
      </c>
      <c r="K14" s="187">
        <v>13.3680597007566</v>
      </c>
      <c r="L14" s="187">
        <v>14.428881860316</v>
      </c>
      <c r="M14" s="187">
        <v>15.9481504635212</v>
      </c>
      <c r="N14" s="187">
        <v>14.5277370362751</v>
      </c>
      <c r="O14" s="187">
        <v>14.331275028695099</v>
      </c>
      <c r="P14" s="187">
        <v>13.733866972686499</v>
      </c>
      <c r="Q14" s="187">
        <v>14.6185966742863</v>
      </c>
      <c r="R14" s="187">
        <v>13.118140851106601</v>
      </c>
      <c r="S14" s="187">
        <v>24.686557987156402</v>
      </c>
      <c r="T14" s="187">
        <v>26.387801855688799</v>
      </c>
      <c r="U14" s="187">
        <v>28.437282230863602</v>
      </c>
      <c r="V14" s="187">
        <v>26.719334000140599</v>
      </c>
      <c r="W14" s="187">
        <v>26.379462169721499</v>
      </c>
      <c r="X14" s="187">
        <v>26.0266869209355</v>
      </c>
      <c r="Y14" s="187">
        <v>28.452940797607699</v>
      </c>
      <c r="Z14" s="187">
        <v>27.6898902228005</v>
      </c>
      <c r="AA14" s="187">
        <v>27.462677082029099</v>
      </c>
      <c r="AB14" s="187">
        <v>27.625431232752799</v>
      </c>
      <c r="AC14" s="187">
        <v>28.9417571240587</v>
      </c>
      <c r="AD14" s="187">
        <v>27.542792072410599</v>
      </c>
      <c r="AE14" s="187">
        <v>27.0733293345113</v>
      </c>
      <c r="AF14" s="187">
        <v>26.887504717682098</v>
      </c>
      <c r="AG14" s="187">
        <v>28.002618508545801</v>
      </c>
      <c r="AH14" s="184">
        <v>27.082855948226801</v>
      </c>
      <c r="AI14" s="184">
        <v>26.913462901798798</v>
      </c>
      <c r="AJ14" s="184">
        <v>26.581313377381399</v>
      </c>
      <c r="AK14" s="184">
        <v>29.6733580908265</v>
      </c>
      <c r="AL14" s="184">
        <v>29.0051533263109</v>
      </c>
      <c r="AM14" s="184">
        <v>30.527483191517501</v>
      </c>
      <c r="AN14" s="187">
        <v>29.929453929065101</v>
      </c>
      <c r="AO14" s="187">
        <v>30.257294064057099</v>
      </c>
      <c r="AP14" s="187">
        <v>29.139064759065601</v>
      </c>
      <c r="AQ14" s="187">
        <v>28.952899395079999</v>
      </c>
      <c r="AR14" s="187">
        <v>28.7666277608656</v>
      </c>
      <c r="AS14" s="188">
        <v>28.226138018075801</v>
      </c>
      <c r="AT14" s="188">
        <v>27.475894373695599</v>
      </c>
      <c r="AU14" s="188">
        <v>27.3205839238199</v>
      </c>
      <c r="AV14" s="188">
        <v>27.137827556825499</v>
      </c>
      <c r="AW14" s="189">
        <v>26.962709796633579</v>
      </c>
      <c r="AX14" s="189"/>
      <c r="AY14" s="190"/>
      <c r="AZ14" s="184"/>
    </row>
    <row r="15" spans="1:52" x14ac:dyDescent="0.4">
      <c r="A15" s="185" t="s">
        <v>126</v>
      </c>
      <c r="B15" s="186">
        <f t="shared" si="0"/>
        <v>0.10095888719847101</v>
      </c>
      <c r="C15" s="186">
        <f t="shared" si="1"/>
        <v>0.12276899616762549</v>
      </c>
      <c r="D15" s="187">
        <v>35.6892893803699</v>
      </c>
      <c r="E15" s="187">
        <v>32.416550513694297</v>
      </c>
      <c r="F15" s="187">
        <v>32.163002534266603</v>
      </c>
      <c r="G15" s="187">
        <v>27.334222232850301</v>
      </c>
      <c r="H15" s="187">
        <v>31.786849745752701</v>
      </c>
      <c r="I15" s="187">
        <v>27.4113712808355</v>
      </c>
      <c r="J15" s="187">
        <v>29.6341601461491</v>
      </c>
      <c r="K15" s="187">
        <v>24.9697790263656</v>
      </c>
      <c r="L15" s="187">
        <v>28.708374266228802</v>
      </c>
      <c r="M15" s="187">
        <v>28.523897493082998</v>
      </c>
      <c r="N15" s="187">
        <v>31.058999120276201</v>
      </c>
      <c r="O15" s="187">
        <v>27.3134842366036</v>
      </c>
      <c r="P15" s="187">
        <v>31.0717016537977</v>
      </c>
      <c r="Q15" s="187">
        <v>31.3185329020132</v>
      </c>
      <c r="R15" s="187">
        <v>33.896866418433902</v>
      </c>
      <c r="S15" s="187">
        <v>29.924647191155501</v>
      </c>
      <c r="T15" s="187">
        <v>34.031924319527299</v>
      </c>
      <c r="U15" s="187">
        <v>31.932723906133699</v>
      </c>
      <c r="V15" s="187">
        <v>34.1824695289895</v>
      </c>
      <c r="W15" s="187">
        <v>30.658779567307299</v>
      </c>
      <c r="X15" s="187">
        <v>33.4822141960179</v>
      </c>
      <c r="Y15" s="187">
        <v>31.020874235656699</v>
      </c>
      <c r="Z15" s="187">
        <v>35.674449215691801</v>
      </c>
      <c r="AA15" s="187">
        <v>29.109462520475098</v>
      </c>
      <c r="AB15" s="187">
        <v>31.957078094687098</v>
      </c>
      <c r="AC15" s="187">
        <v>30.044663255604199</v>
      </c>
      <c r="AD15" s="187">
        <v>35.418182429417499</v>
      </c>
      <c r="AE15" s="187">
        <v>30.571747165652699</v>
      </c>
      <c r="AF15" s="187">
        <v>36.322496512953997</v>
      </c>
      <c r="AG15" s="187">
        <v>34.546477851430403</v>
      </c>
      <c r="AH15" s="184">
        <v>36.074858223646501</v>
      </c>
      <c r="AI15" s="184">
        <v>32.418779330744698</v>
      </c>
      <c r="AJ15" s="184">
        <v>38.378789881585497</v>
      </c>
      <c r="AK15" s="184">
        <v>33.096026320134001</v>
      </c>
      <c r="AL15" s="184">
        <v>35.2414055462474</v>
      </c>
      <c r="AM15" s="184">
        <v>32.093211773712497</v>
      </c>
      <c r="AN15" s="187">
        <v>33.485667066603497</v>
      </c>
      <c r="AO15" s="187">
        <v>32.286476911593098</v>
      </c>
      <c r="AP15" s="187">
        <v>34.668533234826903</v>
      </c>
      <c r="AQ15" s="187">
        <v>30.552423713946801</v>
      </c>
      <c r="AR15" s="187">
        <v>33.088869517190297</v>
      </c>
      <c r="AS15" s="188">
        <v>33.754825911967103</v>
      </c>
      <c r="AT15" s="188">
        <v>38.247227269169699</v>
      </c>
      <c r="AU15" s="188">
        <v>33.825877447552003</v>
      </c>
      <c r="AV15" s="188">
        <v>36.555921283806498</v>
      </c>
      <c r="AW15" s="189">
        <v>34.095351338970524</v>
      </c>
      <c r="AX15" s="189"/>
      <c r="AY15" s="190"/>
      <c r="AZ15" s="184"/>
    </row>
    <row r="16" spans="1:52" x14ac:dyDescent="0.4">
      <c r="A16" s="185" t="s">
        <v>314</v>
      </c>
      <c r="B16" s="186">
        <f t="shared" si="0"/>
        <v>-6.3741566090125268E-5</v>
      </c>
      <c r="C16" s="186">
        <f t="shared" si="1"/>
        <v>0.16951253521005238</v>
      </c>
      <c r="D16" s="187">
        <v>9.7395385375067303</v>
      </c>
      <c r="E16" s="187">
        <v>9.7401593905202493</v>
      </c>
      <c r="F16" s="187">
        <v>9.1184321865951894</v>
      </c>
      <c r="G16" s="187">
        <v>9.1321621078700197</v>
      </c>
      <c r="H16" s="187">
        <v>8.3278616041147799</v>
      </c>
      <c r="I16" s="187">
        <v>8.4834739090101507</v>
      </c>
      <c r="J16" s="187">
        <v>7.98395508008565</v>
      </c>
      <c r="K16" s="187">
        <v>7.6857703491236604</v>
      </c>
      <c r="L16" s="187">
        <v>8.3393789579876607</v>
      </c>
      <c r="M16" s="187">
        <v>9.1047186309020507</v>
      </c>
      <c r="N16" s="187">
        <v>8.6872816765839698</v>
      </c>
      <c r="O16" s="187">
        <v>8.5198244790440398</v>
      </c>
      <c r="P16" s="187">
        <v>8.2602697378103507</v>
      </c>
      <c r="Q16" s="187">
        <v>8.5555538282396402</v>
      </c>
      <c r="R16" s="187">
        <v>8.3022043908539604</v>
      </c>
      <c r="S16" s="187">
        <v>8.1932964362999492</v>
      </c>
      <c r="T16" s="187">
        <v>7.9180193084911501</v>
      </c>
      <c r="U16" s="187">
        <v>7.7948609102117201</v>
      </c>
      <c r="V16" s="187">
        <v>7.4212054825060498</v>
      </c>
      <c r="W16" s="187">
        <v>7.5630976192365598</v>
      </c>
      <c r="X16" s="187">
        <v>7.1922116007977399</v>
      </c>
      <c r="Y16" s="187">
        <v>8.2125205615901002</v>
      </c>
      <c r="Z16" s="187">
        <v>7.4977508663965997</v>
      </c>
      <c r="AA16" s="187">
        <v>7.5046999862809898</v>
      </c>
      <c r="AB16" s="187">
        <v>7.2212901005908403</v>
      </c>
      <c r="AC16" s="187">
        <v>7.9420000000000002</v>
      </c>
      <c r="AD16" s="187">
        <v>7.3769999999999998</v>
      </c>
      <c r="AE16" s="187">
        <v>7.1360000000000001</v>
      </c>
      <c r="AF16" s="187">
        <v>6.8890000000000002</v>
      </c>
      <c r="AG16" s="187">
        <v>7.3339999999999996</v>
      </c>
      <c r="AH16" s="184">
        <v>6.87</v>
      </c>
      <c r="AI16" s="184">
        <v>6.7629999999999999</v>
      </c>
      <c r="AJ16" s="184">
        <v>6.6</v>
      </c>
      <c r="AK16" s="184">
        <v>6.9139999999999997</v>
      </c>
      <c r="AL16" s="184">
        <v>6.7110000000000003</v>
      </c>
      <c r="AM16" s="184">
        <v>6.7439999999999998</v>
      </c>
      <c r="AN16" s="187">
        <v>6.415</v>
      </c>
      <c r="AO16" s="187">
        <v>7.0110000000000001</v>
      </c>
      <c r="AP16" s="187">
        <v>6.4050000000000002</v>
      </c>
      <c r="AQ16" s="187">
        <v>6.5</v>
      </c>
      <c r="AR16" s="187">
        <v>6.0439999999999996</v>
      </c>
      <c r="AS16" s="188">
        <v>7.0579999999999998</v>
      </c>
      <c r="AT16" s="188">
        <v>6.4530000000000003</v>
      </c>
      <c r="AU16" s="188">
        <v>6.407</v>
      </c>
      <c r="AV16" s="188">
        <v>5.9779999999999998</v>
      </c>
      <c r="AW16" s="189">
        <v>6.9249999999999998</v>
      </c>
      <c r="AX16" s="189"/>
      <c r="AY16" s="190"/>
      <c r="AZ16" s="184"/>
    </row>
    <row r="17" spans="1:58" s="179" customFormat="1" x14ac:dyDescent="0.4">
      <c r="A17" s="191" t="s">
        <v>24</v>
      </c>
      <c r="B17" s="192">
        <f t="shared" si="0"/>
        <v>-2.412049990662879E-2</v>
      </c>
      <c r="C17" s="192">
        <f t="shared" si="1"/>
        <v>0.13435883010231287</v>
      </c>
      <c r="D17" s="130">
        <v>412.96700761114499</v>
      </c>
      <c r="E17" s="130">
        <v>423.17418038972301</v>
      </c>
      <c r="F17" s="130">
        <v>395.06714915593102</v>
      </c>
      <c r="G17" s="130">
        <v>384.50522159944802</v>
      </c>
      <c r="H17" s="130">
        <v>364.05324016730901</v>
      </c>
      <c r="I17" s="130">
        <v>367.47827342610799</v>
      </c>
      <c r="J17" s="130">
        <v>346.71021912748</v>
      </c>
      <c r="K17" s="130">
        <v>315.60950948375</v>
      </c>
      <c r="L17" s="130">
        <v>332.58706948894502</v>
      </c>
      <c r="M17" s="130">
        <v>369.22785839068501</v>
      </c>
      <c r="N17" s="130">
        <v>355.01641754705003</v>
      </c>
      <c r="O17" s="130">
        <v>351.91174482776103</v>
      </c>
      <c r="P17" s="130">
        <v>338.85041002731901</v>
      </c>
      <c r="Q17" s="130">
        <v>346.70545462087</v>
      </c>
      <c r="R17" s="130">
        <v>341.27368750750799</v>
      </c>
      <c r="S17" s="130">
        <v>334.63780255154398</v>
      </c>
      <c r="T17" s="130">
        <v>320.388020623241</v>
      </c>
      <c r="U17" s="130">
        <v>329.593203077623</v>
      </c>
      <c r="V17" s="130">
        <v>308.22206192952501</v>
      </c>
      <c r="W17" s="130">
        <v>300.98034948898999</v>
      </c>
      <c r="X17" s="130">
        <v>292.77906197216203</v>
      </c>
      <c r="Y17" s="130">
        <v>301.11551213454698</v>
      </c>
      <c r="Z17" s="130">
        <v>290.85199553764397</v>
      </c>
      <c r="AA17" s="130">
        <v>284.59270983317998</v>
      </c>
      <c r="AB17" s="130">
        <v>274.03042801957099</v>
      </c>
      <c r="AC17" s="130">
        <v>288.87468018814099</v>
      </c>
      <c r="AD17" s="130">
        <v>283.717152096576</v>
      </c>
      <c r="AE17" s="130">
        <v>281.348521023773</v>
      </c>
      <c r="AF17" s="130">
        <v>273.18781634784602</v>
      </c>
      <c r="AG17" s="130">
        <v>297.91047359153703</v>
      </c>
      <c r="AH17" s="193">
        <v>293.089996133196</v>
      </c>
      <c r="AI17" s="193">
        <v>292.35472100317702</v>
      </c>
      <c r="AJ17" s="193">
        <v>279.96134939466799</v>
      </c>
      <c r="AK17" s="193">
        <v>289.458286214927</v>
      </c>
      <c r="AL17" s="193">
        <v>279.41131033663498</v>
      </c>
      <c r="AM17" s="193">
        <v>277.16721895853601</v>
      </c>
      <c r="AN17" s="130">
        <v>270.77348697590099</v>
      </c>
      <c r="AO17" s="130">
        <v>288.02527242203701</v>
      </c>
      <c r="AP17" s="130">
        <v>268.990078023313</v>
      </c>
      <c r="AQ17" s="130">
        <v>268.02612885919899</v>
      </c>
      <c r="AR17" s="130">
        <v>267.32911421688101</v>
      </c>
      <c r="AS17" s="194">
        <v>272.64031390908002</v>
      </c>
      <c r="AT17" s="194">
        <v>265.98951123115501</v>
      </c>
      <c r="AU17" s="194">
        <v>263.31438175987398</v>
      </c>
      <c r="AV17" s="194">
        <v>250.89030199550999</v>
      </c>
      <c r="AW17" s="195">
        <v>252.73245271247052</v>
      </c>
      <c r="AX17" s="195"/>
      <c r="AY17" s="196"/>
      <c r="AZ17" s="193"/>
    </row>
    <row r="18" spans="1:58" s="179" customFormat="1" x14ac:dyDescent="0.4">
      <c r="A18" s="191" t="s">
        <v>315</v>
      </c>
      <c r="B18" s="192"/>
      <c r="C18" s="192"/>
      <c r="D18" s="226"/>
      <c r="E18" s="226"/>
      <c r="F18" s="226"/>
      <c r="G18" s="226"/>
      <c r="H18" s="226"/>
      <c r="I18" s="226"/>
      <c r="J18" s="226"/>
      <c r="K18" s="226"/>
      <c r="L18" s="226"/>
      <c r="M18" s="226"/>
      <c r="N18" s="226"/>
      <c r="O18" s="226"/>
      <c r="P18" s="226"/>
      <c r="Q18" s="226"/>
      <c r="R18" s="192"/>
      <c r="S18" s="192"/>
      <c r="T18" s="192"/>
      <c r="U18" s="192"/>
      <c r="V18" s="192"/>
      <c r="W18" s="192"/>
      <c r="X18" s="130"/>
      <c r="Y18" s="192"/>
      <c r="Z18" s="130"/>
      <c r="AA18" s="130"/>
      <c r="AB18" s="130"/>
      <c r="AC18" s="130"/>
      <c r="AD18" s="130"/>
      <c r="AE18" s="130"/>
      <c r="AF18" s="130"/>
      <c r="AG18" s="130"/>
      <c r="AH18" s="193"/>
      <c r="AI18" s="193"/>
      <c r="AJ18" s="193"/>
      <c r="AK18" s="193"/>
      <c r="AL18" s="193"/>
      <c r="AM18" s="193"/>
      <c r="AN18" s="130"/>
      <c r="AO18" s="130"/>
      <c r="AP18" s="130"/>
      <c r="AQ18" s="130"/>
      <c r="AR18" s="130"/>
      <c r="AS18" s="194"/>
      <c r="AT18" s="194"/>
      <c r="AU18" s="194"/>
      <c r="AV18" s="194"/>
      <c r="AW18" s="195"/>
      <c r="AX18" s="195"/>
      <c r="AY18" s="196"/>
      <c r="AZ18" s="193"/>
    </row>
    <row r="19" spans="1:58" x14ac:dyDescent="0.4">
      <c r="A19" s="197"/>
      <c r="B19" s="186"/>
      <c r="C19" s="186"/>
      <c r="D19" s="222"/>
      <c r="E19" s="222"/>
      <c r="F19" s="222"/>
      <c r="G19" s="222"/>
      <c r="H19" s="222"/>
      <c r="I19" s="222"/>
      <c r="J19" s="222"/>
      <c r="K19" s="222"/>
      <c r="L19" s="222"/>
      <c r="M19" s="222"/>
      <c r="N19" s="222"/>
      <c r="O19" s="222"/>
      <c r="P19" s="222"/>
      <c r="Q19" s="222"/>
      <c r="R19" s="187"/>
      <c r="S19" s="186"/>
      <c r="T19" s="186"/>
      <c r="U19" s="186"/>
      <c r="V19" s="186"/>
      <c r="W19" s="186"/>
      <c r="X19" s="186"/>
      <c r="Y19" s="186"/>
      <c r="Z19" s="186"/>
      <c r="AA19" s="186"/>
      <c r="AB19" s="186"/>
      <c r="AC19" s="186"/>
      <c r="AD19" s="186"/>
      <c r="AE19" s="186"/>
      <c r="AF19" s="186"/>
      <c r="AG19" s="186"/>
      <c r="AH19" s="190"/>
      <c r="AI19" s="190"/>
      <c r="AJ19" s="190"/>
      <c r="AU19" s="180"/>
      <c r="AV19" s="180"/>
      <c r="AW19" s="180"/>
      <c r="AX19" s="180"/>
      <c r="AY19" s="180"/>
    </row>
    <row r="20" spans="1:58" x14ac:dyDescent="0.4">
      <c r="A20" s="183" t="s">
        <v>127</v>
      </c>
      <c r="B20" s="182" t="str">
        <f t="shared" ref="B20:AT20" si="2">B5</f>
        <v>% CHG Q1/Q4</v>
      </c>
      <c r="C20" s="182" t="str">
        <f t="shared" si="2"/>
        <v>% CHG Q1/Q1</v>
      </c>
      <c r="D20" s="182">
        <f t="shared" si="2"/>
        <v>44621</v>
      </c>
      <c r="E20" s="182">
        <f t="shared" ref="E20" si="3">E5</f>
        <v>44531</v>
      </c>
      <c r="F20" s="182">
        <v>44440</v>
      </c>
      <c r="G20" s="182">
        <v>44348</v>
      </c>
      <c r="H20" s="182">
        <f t="shared" si="2"/>
        <v>44286</v>
      </c>
      <c r="I20" s="182">
        <f t="shared" si="2"/>
        <v>44196</v>
      </c>
      <c r="J20" s="182">
        <f t="shared" si="2"/>
        <v>44104</v>
      </c>
      <c r="K20" s="182">
        <f t="shared" si="2"/>
        <v>43999</v>
      </c>
      <c r="L20" s="182">
        <f t="shared" si="2"/>
        <v>43907</v>
      </c>
      <c r="M20" s="182">
        <f t="shared" si="2"/>
        <v>43816</v>
      </c>
      <c r="N20" s="182">
        <f t="shared" si="2"/>
        <v>43725</v>
      </c>
      <c r="O20" s="182">
        <v>43617</v>
      </c>
      <c r="P20" s="182">
        <f>P5</f>
        <v>43543</v>
      </c>
      <c r="Q20" s="182">
        <v>43452</v>
      </c>
      <c r="R20" s="182">
        <v>43361</v>
      </c>
      <c r="S20" s="182">
        <v>43269</v>
      </c>
      <c r="T20" s="182">
        <f t="shared" si="2"/>
        <v>43160</v>
      </c>
      <c r="U20" s="182">
        <f t="shared" si="2"/>
        <v>43070</v>
      </c>
      <c r="V20" s="182">
        <f>V5</f>
        <v>42979</v>
      </c>
      <c r="W20" s="182">
        <f>W5</f>
        <v>42887</v>
      </c>
      <c r="X20" s="182">
        <v>42811</v>
      </c>
      <c r="Y20" s="182">
        <f t="shared" si="2"/>
        <v>42705</v>
      </c>
      <c r="Z20" s="182">
        <f t="shared" si="2"/>
        <v>42614</v>
      </c>
      <c r="AA20" s="182">
        <f>Z5</f>
        <v>42614</v>
      </c>
      <c r="AB20" s="182">
        <f t="shared" si="2"/>
        <v>42430</v>
      </c>
      <c r="AC20" s="182">
        <f t="shared" si="2"/>
        <v>42339</v>
      </c>
      <c r="AD20" s="182">
        <f t="shared" si="2"/>
        <v>42248</v>
      </c>
      <c r="AE20" s="182">
        <f t="shared" si="2"/>
        <v>42156</v>
      </c>
      <c r="AF20" s="182">
        <f t="shared" si="2"/>
        <v>42064</v>
      </c>
      <c r="AG20" s="182">
        <f t="shared" si="2"/>
        <v>41974</v>
      </c>
      <c r="AH20" s="182">
        <f t="shared" si="2"/>
        <v>41883</v>
      </c>
      <c r="AI20" s="182">
        <f t="shared" si="2"/>
        <v>41791</v>
      </c>
      <c r="AJ20" s="182">
        <f t="shared" si="2"/>
        <v>41699</v>
      </c>
      <c r="AK20" s="182">
        <f t="shared" si="2"/>
        <v>41609</v>
      </c>
      <c r="AL20" s="182">
        <f t="shared" si="2"/>
        <v>41518</v>
      </c>
      <c r="AM20" s="182">
        <f t="shared" si="2"/>
        <v>41426</v>
      </c>
      <c r="AN20" s="182">
        <f t="shared" si="2"/>
        <v>41334</v>
      </c>
      <c r="AO20" s="182">
        <f t="shared" si="2"/>
        <v>41244</v>
      </c>
      <c r="AP20" s="182">
        <f t="shared" si="2"/>
        <v>41153</v>
      </c>
      <c r="AQ20" s="182">
        <f t="shared" si="2"/>
        <v>41061</v>
      </c>
      <c r="AR20" s="182">
        <f t="shared" si="2"/>
        <v>40969</v>
      </c>
      <c r="AS20" s="182">
        <f t="shared" si="2"/>
        <v>40878</v>
      </c>
      <c r="AT20" s="182">
        <f t="shared" si="2"/>
        <v>40787</v>
      </c>
      <c r="AU20" s="182">
        <v>40695</v>
      </c>
      <c r="AV20" s="182">
        <v>40603</v>
      </c>
      <c r="AW20" s="182">
        <v>40513</v>
      </c>
      <c r="AX20" s="182"/>
      <c r="AY20" s="182"/>
      <c r="BA20" s="198"/>
      <c r="BB20" s="182"/>
      <c r="BC20" s="182"/>
      <c r="BD20" s="182"/>
      <c r="BE20" s="182"/>
      <c r="BF20" s="182"/>
    </row>
    <row r="21" spans="1:58" x14ac:dyDescent="0.4">
      <c r="A21" s="185" t="s">
        <v>118</v>
      </c>
      <c r="B21" s="186">
        <f>D21/E21-1</f>
        <v>5.1188956846619948E-2</v>
      </c>
      <c r="C21" s="186">
        <f>D21/H21-1</f>
        <v>1.7195771158531397</v>
      </c>
      <c r="D21" s="186">
        <v>0.1097718233441687</v>
      </c>
      <c r="E21" s="186">
        <v>0.10442634754598704</v>
      </c>
      <c r="F21" s="186">
        <v>9.0087013998510532E-2</v>
      </c>
      <c r="G21" s="186">
        <v>6.0953250350370462E-2</v>
      </c>
      <c r="H21" s="186">
        <v>4.0363563402662672E-2</v>
      </c>
      <c r="I21" s="186">
        <v>-0.12525139145733938</v>
      </c>
      <c r="J21" s="186">
        <v>-2.5426537205925828E-2</v>
      </c>
      <c r="K21" s="186">
        <v>-0.17227252607663088</v>
      </c>
      <c r="L21" s="186">
        <v>-0.10919471947341373</v>
      </c>
      <c r="M21" s="186">
        <v>4.6290836580418692E-3</v>
      </c>
      <c r="N21" s="186">
        <v>6.5713713589622164E-2</v>
      </c>
      <c r="O21" s="186">
        <v>5.4687909005955902E-2</v>
      </c>
      <c r="P21" s="186">
        <v>4.1525299286826689E-2</v>
      </c>
      <c r="Q21" s="186">
        <v>8.9346183137448965E-2</v>
      </c>
      <c r="R21" s="186">
        <v>8.0468518023840516E-2</v>
      </c>
      <c r="S21" s="186">
        <v>6.3350985314277283E-2</v>
      </c>
      <c r="T21" s="186">
        <v>6.6520805121848672E-2</v>
      </c>
      <c r="U21" s="186">
        <v>3.094077313551279E-2</v>
      </c>
      <c r="V21" s="186">
        <v>4.414794183295305E-2</v>
      </c>
      <c r="W21" s="186">
        <v>3.4733921745152538E-2</v>
      </c>
      <c r="X21" s="186">
        <v>4.941275666099855E-2</v>
      </c>
      <c r="Y21" s="186">
        <v>5.5276785912899765E-3</v>
      </c>
      <c r="Z21" s="186">
        <v>1.2259483632591158E-2</v>
      </c>
      <c r="AA21" s="186">
        <v>-2.9732259568027511E-2</v>
      </c>
      <c r="AB21" s="186">
        <v>-4.588820106440801E-2</v>
      </c>
      <c r="AC21" s="186">
        <v>-0.10920416476123491</v>
      </c>
      <c r="AD21" s="186">
        <v>-5.227226930920801E-2</v>
      </c>
      <c r="AE21" s="186">
        <v>-5.3100173234075197E-3</v>
      </c>
      <c r="AF21" s="186">
        <v>-5.4802545502429592E-3</v>
      </c>
      <c r="AG21" s="186">
        <v>5.7243983214933139E-2</v>
      </c>
      <c r="AH21" s="190">
        <v>8.9365236859139274E-2</v>
      </c>
      <c r="AI21" s="190">
        <v>8.2784279578733425E-2</v>
      </c>
      <c r="AJ21" s="190">
        <v>8.5164906534329704E-2</v>
      </c>
      <c r="AK21" s="190">
        <v>6.7636686402477622E-2</v>
      </c>
      <c r="AL21" s="190">
        <v>7.1805497016685024E-2</v>
      </c>
      <c r="AM21" s="190">
        <v>8.3225540042495702E-2</v>
      </c>
      <c r="AN21" s="190">
        <v>8.3387267873403406E-2</v>
      </c>
      <c r="AO21" s="190">
        <v>7.4258336694787985E-2</v>
      </c>
      <c r="AP21" s="190">
        <v>7.1881339830929994E-2</v>
      </c>
      <c r="AQ21" s="190">
        <v>8.3981147962103014E-2</v>
      </c>
      <c r="AR21" s="190">
        <v>7.9340324357191377E-2</v>
      </c>
      <c r="AS21" s="186">
        <v>6.9979393720502561E-2</v>
      </c>
      <c r="AT21" s="186">
        <v>9.6924297765921319E-2</v>
      </c>
      <c r="AU21" s="190">
        <v>9.3160633153152164E-2</v>
      </c>
      <c r="AV21" s="190">
        <v>8.4109249369373015E-2</v>
      </c>
      <c r="AW21" s="190">
        <v>7.7387793397235713E-2</v>
      </c>
      <c r="AX21" s="190"/>
      <c r="AY21" s="190"/>
      <c r="BA21" s="199"/>
      <c r="BB21" s="190"/>
      <c r="BC21" s="190"/>
      <c r="BD21" s="190"/>
      <c r="BE21" s="190"/>
      <c r="BF21" s="190"/>
    </row>
    <row r="22" spans="1:58" x14ac:dyDescent="0.4">
      <c r="A22" s="185" t="s">
        <v>119</v>
      </c>
      <c r="B22" s="186">
        <f t="shared" ref="B22:B32" si="4">D22/E22-1</f>
        <v>0.10967954151730397</v>
      </c>
      <c r="C22" s="186">
        <f t="shared" ref="C22:C32" si="5">D22/H22-1</f>
        <v>0.23258073170903781</v>
      </c>
      <c r="D22" s="186">
        <v>0.13558751131434171</v>
      </c>
      <c r="E22" s="186">
        <v>0.12218618640922958</v>
      </c>
      <c r="F22" s="186">
        <v>0.12830583423677935</v>
      </c>
      <c r="G22" s="186">
        <v>0.14274227619216126</v>
      </c>
      <c r="H22" s="186">
        <v>0.11000294571077913</v>
      </c>
      <c r="I22" s="186">
        <v>0.10158972192670837</v>
      </c>
      <c r="J22" s="186">
        <v>8.0919072994881283E-2</v>
      </c>
      <c r="K22" s="186">
        <v>8.1028135586012281E-2</v>
      </c>
      <c r="L22" s="186">
        <v>6.9526763234364464E-2</v>
      </c>
      <c r="M22" s="186">
        <v>7.5888782262183346E-2</v>
      </c>
      <c r="N22" s="186">
        <v>8.5098724752154173E-2</v>
      </c>
      <c r="O22" s="186">
        <v>9.5942943480757784E-2</v>
      </c>
      <c r="P22" s="186">
        <v>8.2920315770968922E-2</v>
      </c>
      <c r="Q22" s="186">
        <v>8.7974555039219429E-2</v>
      </c>
      <c r="R22" s="186">
        <v>9.6621516383412695E-2</v>
      </c>
      <c r="S22" s="186">
        <v>0.11921151231245058</v>
      </c>
      <c r="T22" s="186">
        <v>0.11130905926539461</v>
      </c>
      <c r="U22" s="186">
        <v>7.5968267357611724E-2</v>
      </c>
      <c r="V22" s="186">
        <v>9.3366697487631406E-2</v>
      </c>
      <c r="W22" s="186">
        <v>0.10508557335441132</v>
      </c>
      <c r="X22" s="186">
        <v>0.10376938543298318</v>
      </c>
      <c r="Y22" s="186">
        <v>6.3972939134969209E-2</v>
      </c>
      <c r="Z22" s="186">
        <v>8.2921246967057841E-2</v>
      </c>
      <c r="AA22" s="186">
        <v>0.10406641401753625</v>
      </c>
      <c r="AB22" s="186">
        <v>3.7660565396453065E-2</v>
      </c>
      <c r="AC22" s="186">
        <v>8.0684907999479891E-3</v>
      </c>
      <c r="AD22" s="186">
        <v>2.8391419276528745E-2</v>
      </c>
      <c r="AE22" s="186">
        <v>7.7154109817518773E-2</v>
      </c>
      <c r="AF22" s="186">
        <v>6.6859404938482192E-2</v>
      </c>
      <c r="AG22" s="186">
        <v>6.2302173651059056E-2</v>
      </c>
      <c r="AH22" s="190">
        <v>7.8364714027582022E-2</v>
      </c>
      <c r="AI22" s="190">
        <v>8.2519409203167901E-2</v>
      </c>
      <c r="AJ22" s="190">
        <v>8.4702112802646279E-2</v>
      </c>
      <c r="AK22" s="190">
        <v>5.9534026331986796E-2</v>
      </c>
      <c r="AL22" s="190">
        <v>6.7114577660169664E-2</v>
      </c>
      <c r="AM22" s="190">
        <v>6.0249237340846862E-2</v>
      </c>
      <c r="AN22" s="190">
        <v>8.7814489503769369E-2</v>
      </c>
      <c r="AO22" s="190">
        <v>5.7373491734564304E-2</v>
      </c>
      <c r="AP22" s="190">
        <v>6.5932843420123205E-2</v>
      </c>
      <c r="AQ22" s="190">
        <v>8.7908494955211497E-2</v>
      </c>
      <c r="AR22" s="190">
        <v>8.4170211311005133E-2</v>
      </c>
      <c r="AS22" s="186">
        <v>4.023593793346348E-2</v>
      </c>
      <c r="AT22" s="186">
        <v>7.8258823844487096E-2</v>
      </c>
      <c r="AU22" s="190">
        <v>0.101676081495556</v>
      </c>
      <c r="AV22" s="190">
        <v>9.9448574792400157E-2</v>
      </c>
      <c r="AW22" s="190">
        <v>7.5195759839614379E-2</v>
      </c>
      <c r="AX22" s="190"/>
      <c r="AY22" s="190"/>
      <c r="BA22" s="199"/>
      <c r="BB22" s="190"/>
      <c r="BC22" s="190"/>
      <c r="BD22" s="190"/>
      <c r="BE22" s="190"/>
      <c r="BF22" s="190"/>
    </row>
    <row r="23" spans="1:58" x14ac:dyDescent="0.4">
      <c r="A23" s="185" t="s">
        <v>120</v>
      </c>
      <c r="B23" s="186">
        <f t="shared" si="4"/>
        <v>-7.8960648798582556E-2</v>
      </c>
      <c r="C23" s="186">
        <f t="shared" si="5"/>
        <v>0.15342993607305466</v>
      </c>
      <c r="D23" s="186">
        <v>7.8539062756960404E-2</v>
      </c>
      <c r="E23" s="186">
        <v>8.52722119359101E-2</v>
      </c>
      <c r="F23" s="186">
        <v>9.4785532549768237E-2</v>
      </c>
      <c r="G23" s="186">
        <v>9.3732484251597609E-2</v>
      </c>
      <c r="H23" s="186">
        <v>6.8091749919681283E-2</v>
      </c>
      <c r="I23" s="186">
        <v>3.4868888255196913E-2</v>
      </c>
      <c r="J23" s="186">
        <v>5.7530793752553024E-2</v>
      </c>
      <c r="K23" s="186">
        <v>2.8916164448901122E-2</v>
      </c>
      <c r="L23" s="186">
        <v>4.5994518554425781E-2</v>
      </c>
      <c r="M23" s="186">
        <v>8.6034920111781391E-2</v>
      </c>
      <c r="N23" s="186">
        <v>0.10284176265779407</v>
      </c>
      <c r="O23" s="186">
        <v>9.6589315401301293E-2</v>
      </c>
      <c r="P23" s="186">
        <v>9.1776056620867019E-2</v>
      </c>
      <c r="Q23" s="186">
        <v>9.3234388925886535E-2</v>
      </c>
      <c r="R23" s="186">
        <v>0.10457443399301276</v>
      </c>
      <c r="S23" s="186">
        <v>0.10347430237676185</v>
      </c>
      <c r="T23" s="186">
        <v>0.10278535581386876</v>
      </c>
      <c r="U23" s="186">
        <v>8.8286816457965586E-2</v>
      </c>
      <c r="V23" s="186">
        <v>9.3208209833005359E-2</v>
      </c>
      <c r="W23" s="186">
        <v>9.4353831505794919E-2</v>
      </c>
      <c r="X23" s="186">
        <v>8.0570409896660672E-2</v>
      </c>
      <c r="Y23" s="186">
        <v>7.9932662804218027E-2</v>
      </c>
      <c r="Z23" s="186">
        <v>9.415713054764209E-2</v>
      </c>
      <c r="AA23" s="186">
        <v>9.079848169592665E-2</v>
      </c>
      <c r="AB23" s="186">
        <v>7.8860867974813079E-2</v>
      </c>
      <c r="AC23" s="186">
        <v>9.1842484075494613E-2</v>
      </c>
      <c r="AD23" s="186">
        <v>0.10033085616124293</v>
      </c>
      <c r="AE23" s="186">
        <v>9.2780446923401705E-2</v>
      </c>
      <c r="AF23" s="186">
        <v>8.7392554778791806E-2</v>
      </c>
      <c r="AG23" s="186">
        <v>8.7977547803586936E-2</v>
      </c>
      <c r="AH23" s="190">
        <v>9.4352190014200976E-2</v>
      </c>
      <c r="AI23" s="190">
        <v>9.6001401818646498E-2</v>
      </c>
      <c r="AJ23" s="190">
        <v>8.4696094756776544E-2</v>
      </c>
      <c r="AK23" s="190">
        <v>9.1045878303274291E-2</v>
      </c>
      <c r="AL23" s="190">
        <v>9.2064273596396337E-2</v>
      </c>
      <c r="AM23" s="190">
        <v>8.9173339876864696E-2</v>
      </c>
      <c r="AN23" s="190">
        <v>8.2287079454281806E-2</v>
      </c>
      <c r="AO23" s="190">
        <v>6.9820087373891296E-2</v>
      </c>
      <c r="AP23" s="190">
        <v>8.4333201179740053E-2</v>
      </c>
      <c r="AQ23" s="190">
        <v>8.956477952863344E-2</v>
      </c>
      <c r="AR23" s="190">
        <v>8.2827286150683549E-2</v>
      </c>
      <c r="AS23" s="186">
        <v>7.965108687012501E-2</v>
      </c>
      <c r="AT23" s="186">
        <v>8.1694127051218937E-2</v>
      </c>
      <c r="AU23" s="190">
        <v>8.540353093445413E-2</v>
      </c>
      <c r="AV23" s="190">
        <v>7.5372845728785123E-2</v>
      </c>
      <c r="AW23" s="190">
        <v>8.1919997482051643E-2</v>
      </c>
      <c r="AX23" s="190"/>
      <c r="AY23" s="190"/>
      <c r="BA23" s="199"/>
      <c r="BB23" s="190"/>
      <c r="BC23" s="190"/>
      <c r="BD23" s="190"/>
      <c r="BE23" s="190"/>
      <c r="BF23" s="190"/>
    </row>
    <row r="24" spans="1:58" x14ac:dyDescent="0.4">
      <c r="A24" s="185" t="s">
        <v>121</v>
      </c>
      <c r="B24" s="186">
        <f t="shared" si="4"/>
        <v>-0.51423161738260181</v>
      </c>
      <c r="C24" s="186">
        <f t="shared" si="5"/>
        <v>-0.46620722932372172</v>
      </c>
      <c r="D24" s="186">
        <v>4.1987706798881065E-2</v>
      </c>
      <c r="E24" s="186">
        <v>8.643565184840675E-2</v>
      </c>
      <c r="F24" s="186">
        <v>7.296153531661663E-2</v>
      </c>
      <c r="G24" s="186">
        <v>8.2343747273506782E-2</v>
      </c>
      <c r="H24" s="186">
        <v>7.8659189680829814E-2</v>
      </c>
      <c r="I24" s="186">
        <v>6.2408196304447328E-2</v>
      </c>
      <c r="J24" s="186">
        <v>7.9688025205064558E-2</v>
      </c>
      <c r="K24" s="186">
        <v>3.4705084818036899E-2</v>
      </c>
      <c r="L24" s="186">
        <v>3.0699791559563375E-2</v>
      </c>
      <c r="M24" s="186">
        <v>6.3801298062739376E-2</v>
      </c>
      <c r="N24" s="186">
        <v>7.4001792283453882E-2</v>
      </c>
      <c r="O24" s="186">
        <v>7.1851239280636289E-2</v>
      </c>
      <c r="P24" s="186">
        <v>6.9056142163453307E-2</v>
      </c>
      <c r="Q24" s="186">
        <v>6.5186817643918038E-2</v>
      </c>
      <c r="R24" s="186">
        <v>7.8299435344959353E-2</v>
      </c>
      <c r="S24" s="186">
        <v>8.3008691409126908E-2</v>
      </c>
      <c r="T24" s="186">
        <v>7.734623086834104E-2</v>
      </c>
      <c r="U24" s="186">
        <v>7.456212258771952E-2</v>
      </c>
      <c r="V24" s="186">
        <v>7.7638015858634349E-2</v>
      </c>
      <c r="W24" s="186">
        <v>7.504090093749774E-2</v>
      </c>
      <c r="X24" s="186">
        <v>7.19759447238731E-2</v>
      </c>
      <c r="Y24" s="186">
        <v>6.9896656444192545E-2</v>
      </c>
      <c r="Z24" s="186">
        <v>7.6095586801347176E-2</v>
      </c>
      <c r="AA24" s="186">
        <v>7.6367469187037157E-2</v>
      </c>
      <c r="AB24" s="186">
        <v>7.3159790674041728E-2</v>
      </c>
      <c r="AC24" s="186">
        <v>7.3307248749044429E-2</v>
      </c>
      <c r="AD24" s="186">
        <v>7.7185778157589105E-2</v>
      </c>
      <c r="AE24" s="186">
        <v>7.489309966578242E-2</v>
      </c>
      <c r="AF24" s="186">
        <v>6.7392612821637152E-2</v>
      </c>
      <c r="AG24" s="186">
        <v>7.2379985379992018E-2</v>
      </c>
      <c r="AH24" s="190">
        <v>7.0198711842529252E-2</v>
      </c>
      <c r="AI24" s="190">
        <v>7.1807385275257887E-2</v>
      </c>
      <c r="AJ24" s="190">
        <v>6.726415730938716E-2</v>
      </c>
      <c r="AK24" s="190">
        <v>6.6955334566703453E-2</v>
      </c>
      <c r="AL24" s="190">
        <v>7.102710785544919E-2</v>
      </c>
      <c r="AM24" s="190">
        <v>7.0907001631517932E-2</v>
      </c>
      <c r="AN24" s="190">
        <v>6.8347477661021158E-2</v>
      </c>
      <c r="AO24" s="190">
        <v>7.0495353424747553E-2</v>
      </c>
      <c r="AP24" s="190">
        <v>7.2443646394398709E-2</v>
      </c>
      <c r="AQ24" s="190">
        <v>6.7761519669831405E-2</v>
      </c>
      <c r="AR24" s="190">
        <v>6.4404884566608492E-2</v>
      </c>
      <c r="AS24" s="186">
        <v>6.7288721010259858E-2</v>
      </c>
      <c r="AT24" s="186">
        <v>6.9349566845311697E-2</v>
      </c>
      <c r="AU24" s="190">
        <v>7.2111082563584408E-2</v>
      </c>
      <c r="AV24" s="190">
        <v>6.6464043797611005E-2</v>
      </c>
      <c r="AW24" s="190">
        <v>6.7760952920040515E-2</v>
      </c>
      <c r="AX24" s="190"/>
      <c r="AY24" s="190"/>
      <c r="BA24" s="199"/>
      <c r="BB24" s="190"/>
      <c r="BC24" s="190"/>
      <c r="BD24" s="190"/>
      <c r="BE24" s="190"/>
      <c r="BF24" s="190"/>
    </row>
    <row r="25" spans="1:58" x14ac:dyDescent="0.4">
      <c r="A25" s="185" t="s">
        <v>122</v>
      </c>
      <c r="B25" s="186">
        <f t="shared" si="4"/>
        <v>9.5999218682942811E-3</v>
      </c>
      <c r="C25" s="186">
        <f t="shared" si="5"/>
        <v>2.9903600635026173E-2</v>
      </c>
      <c r="D25" s="186">
        <v>7.4071570628969644E-2</v>
      </c>
      <c r="E25" s="186">
        <v>7.3367250754039312E-2</v>
      </c>
      <c r="F25" s="186">
        <v>7.7744613275547714E-2</v>
      </c>
      <c r="G25" s="186">
        <v>8.0188624364654265E-2</v>
      </c>
      <c r="H25" s="186">
        <v>7.1920877432895672E-2</v>
      </c>
      <c r="I25" s="186">
        <v>6.7399816847122651E-2</v>
      </c>
      <c r="J25" s="186">
        <v>8.65971467834558E-2</v>
      </c>
      <c r="K25" s="186">
        <v>7.9431074969415288E-2</v>
      </c>
      <c r="L25" s="186">
        <v>7.0007181561053552E-2</v>
      </c>
      <c r="M25" s="186">
        <v>7.7752446340139184E-2</v>
      </c>
      <c r="N25" s="186">
        <v>7.3859922788155563E-2</v>
      </c>
      <c r="O25" s="186">
        <v>7.6516970760877656E-2</v>
      </c>
      <c r="P25" s="186">
        <v>7.1074058519549718E-2</v>
      </c>
      <c r="Q25" s="186">
        <v>7.0808281756360517E-2</v>
      </c>
      <c r="R25" s="186">
        <v>7.7865392712738485E-2</v>
      </c>
      <c r="S25" s="186">
        <v>7.935938185957235E-2</v>
      </c>
      <c r="T25" s="186">
        <v>6.4369106632450171E-2</v>
      </c>
      <c r="U25" s="186">
        <v>6.8438731317661067E-2</v>
      </c>
      <c r="V25" s="186">
        <v>6.7760222711376453E-2</v>
      </c>
      <c r="W25" s="186">
        <v>6.8620395098901152E-2</v>
      </c>
      <c r="X25" s="186">
        <v>6.2457783591904292E-2</v>
      </c>
      <c r="Y25" s="186">
        <v>6.642727878209928E-2</v>
      </c>
      <c r="Z25" s="186">
        <v>7.0355506361200887E-2</v>
      </c>
      <c r="AA25" s="186">
        <v>6.7413751438159045E-2</v>
      </c>
      <c r="AB25" s="186">
        <v>6.1242611712576181E-2</v>
      </c>
      <c r="AC25" s="186">
        <v>6.3080406416972018E-2</v>
      </c>
      <c r="AD25" s="186">
        <v>6.602284738788608E-2</v>
      </c>
      <c r="AE25" s="186">
        <v>7.0057378402085091E-2</v>
      </c>
      <c r="AF25" s="186">
        <v>6.3872086409003423E-2</v>
      </c>
      <c r="AG25" s="186">
        <v>6.0146665125379008E-2</v>
      </c>
      <c r="AH25" s="190">
        <v>6.8348575662097816E-2</v>
      </c>
      <c r="AI25" s="190">
        <v>6.8241607876577681E-2</v>
      </c>
      <c r="AJ25" s="190">
        <v>6.157210133276661E-2</v>
      </c>
      <c r="AK25" s="190">
        <v>6.9568139817021729E-2</v>
      </c>
      <c r="AL25" s="190">
        <v>6.8335058981407515E-2</v>
      </c>
      <c r="AM25" s="190">
        <v>6.5641501164005411E-2</v>
      </c>
      <c r="AN25" s="190">
        <v>6.2198329089590325E-2</v>
      </c>
      <c r="AO25" s="190">
        <v>6.390909535852636E-2</v>
      </c>
      <c r="AP25" s="190">
        <v>6.578102358554154E-2</v>
      </c>
      <c r="AQ25" s="190">
        <v>6.5050084999798072E-2</v>
      </c>
      <c r="AR25" s="190">
        <v>5.9231334009067986E-2</v>
      </c>
      <c r="AS25" s="186">
        <v>6.2887216809625321E-2</v>
      </c>
      <c r="AT25" s="186">
        <v>6.4635469334574119E-2</v>
      </c>
      <c r="AU25" s="190">
        <v>6.4070930056994352E-2</v>
      </c>
      <c r="AV25" s="190">
        <v>6.193010894444826E-2</v>
      </c>
      <c r="AW25" s="190">
        <v>6.4441174359278278E-2</v>
      </c>
      <c r="AX25" s="190"/>
      <c r="AY25" s="190"/>
      <c r="BA25" s="199"/>
      <c r="BB25" s="190"/>
      <c r="BC25" s="190"/>
      <c r="BD25" s="190"/>
      <c r="BE25" s="190"/>
      <c r="BF25" s="190"/>
    </row>
    <row r="26" spans="1:58" x14ac:dyDescent="0.4">
      <c r="A26" s="185" t="s">
        <v>123</v>
      </c>
      <c r="B26" s="186">
        <f t="shared" si="4"/>
        <v>5.7037433721203401E-2</v>
      </c>
      <c r="C26" s="186">
        <f t="shared" si="5"/>
        <v>-4.7558380649848075E-2</v>
      </c>
      <c r="D26" s="186">
        <v>9.4786982765509634E-2</v>
      </c>
      <c r="E26" s="186">
        <v>8.9672304633356972E-2</v>
      </c>
      <c r="F26" s="186">
        <v>0.10607543267668383</v>
      </c>
      <c r="G26" s="186">
        <v>9.5854201214679816E-2</v>
      </c>
      <c r="H26" s="186">
        <v>9.9519992448652658E-2</v>
      </c>
      <c r="I26" s="186">
        <v>7.2452448659037286E-2</v>
      </c>
      <c r="J26" s="186">
        <v>8.4514912421156801E-2</v>
      </c>
      <c r="K26" s="186">
        <v>9.0883487178963829E-2</v>
      </c>
      <c r="L26" s="186">
        <v>8.0392914648219294E-2</v>
      </c>
      <c r="M26" s="186">
        <v>7.7055939147860922E-2</v>
      </c>
      <c r="N26" s="186">
        <v>8.0491059235329301E-2</v>
      </c>
      <c r="O26" s="186">
        <v>8.9723551282877206E-2</v>
      </c>
      <c r="P26" s="186">
        <v>8.9254024135953874E-2</v>
      </c>
      <c r="Q26" s="186">
        <v>8.1413661596672876E-2</v>
      </c>
      <c r="R26" s="186">
        <v>8.7185671403613565E-2</v>
      </c>
      <c r="S26" s="186">
        <v>8.3508433556318387E-2</v>
      </c>
      <c r="T26" s="186">
        <v>9.0732590717766223E-2</v>
      </c>
      <c r="U26" s="186">
        <v>8.5078773900997912E-2</v>
      </c>
      <c r="V26" s="186">
        <v>8.8088882289223916E-2</v>
      </c>
      <c r="W26" s="186">
        <v>9.1228758821007949E-2</v>
      </c>
      <c r="X26" s="186">
        <v>8.4109670525905927E-2</v>
      </c>
      <c r="Y26" s="186">
        <v>8.1410750506525548E-2</v>
      </c>
      <c r="Z26" s="186">
        <v>8.6281083993850871E-2</v>
      </c>
      <c r="AA26" s="186">
        <v>8.6757884842671398E-2</v>
      </c>
      <c r="AB26" s="186">
        <v>8.639210269985019E-2</v>
      </c>
      <c r="AC26" s="186">
        <v>7.6349084808494005E-2</v>
      </c>
      <c r="AD26" s="186">
        <v>8.1386130553354613E-2</v>
      </c>
      <c r="AE26" s="186">
        <v>8.4282554205286714E-2</v>
      </c>
      <c r="AF26" s="186">
        <v>9.247581476243899E-2</v>
      </c>
      <c r="AG26" s="186">
        <v>7.9253392264325165E-2</v>
      </c>
      <c r="AH26" s="190">
        <v>8.5672528893678573E-2</v>
      </c>
      <c r="AI26" s="190">
        <v>9.1192421599160828E-2</v>
      </c>
      <c r="AJ26" s="190">
        <v>8.9037411517773099E-2</v>
      </c>
      <c r="AK26" s="190">
        <v>8.1041758420170446E-2</v>
      </c>
      <c r="AL26" s="190">
        <v>8.8991437898627235E-2</v>
      </c>
      <c r="AM26" s="190">
        <v>8.88115927941691E-2</v>
      </c>
      <c r="AN26" s="190">
        <v>8.9604144857643134E-2</v>
      </c>
      <c r="AO26" s="190">
        <v>7.9339483424774815E-2</v>
      </c>
      <c r="AP26" s="190">
        <v>9.1112930766174188E-2</v>
      </c>
      <c r="AQ26" s="190">
        <v>9.0695078800875711E-2</v>
      </c>
      <c r="AR26" s="190">
        <v>9.4419260001527755E-2</v>
      </c>
      <c r="AS26" s="186">
        <v>8.3468515549079664E-2</v>
      </c>
      <c r="AT26" s="186">
        <v>8.9666563583228442E-2</v>
      </c>
      <c r="AU26" s="190">
        <v>9.7268359845175387E-2</v>
      </c>
      <c r="AV26" s="190">
        <v>9.3681167089091827E-2</v>
      </c>
      <c r="AW26" s="190">
        <v>8.7159175107408129E-2</v>
      </c>
      <c r="AX26" s="190"/>
      <c r="AY26" s="190"/>
      <c r="BA26" s="199"/>
      <c r="BB26" s="190"/>
      <c r="BC26" s="190"/>
      <c r="BD26" s="190"/>
      <c r="BE26" s="190"/>
      <c r="BF26" s="190"/>
    </row>
    <row r="27" spans="1:58" x14ac:dyDescent="0.4">
      <c r="A27" s="185" t="s">
        <v>124</v>
      </c>
      <c r="B27" s="186">
        <f t="shared" si="4"/>
        <v>-0.25239734234641054</v>
      </c>
      <c r="C27" s="186">
        <f t="shared" si="5"/>
        <v>-0.26718343923843901</v>
      </c>
      <c r="D27" s="186">
        <v>0.17914298104491611</v>
      </c>
      <c r="E27" s="186">
        <v>0.2396232533564964</v>
      </c>
      <c r="F27" s="186">
        <v>0.20303958227125229</v>
      </c>
      <c r="G27" s="186">
        <v>0.25277561898047107</v>
      </c>
      <c r="H27" s="186">
        <v>0.24445815042545752</v>
      </c>
      <c r="I27" s="186">
        <v>0.23259548542598721</v>
      </c>
      <c r="J27" s="186">
        <v>0.19703318780337756</v>
      </c>
      <c r="K27" s="186">
        <v>0.12859652083975842</v>
      </c>
      <c r="L27" s="186">
        <v>-2.2529455261757494E-2</v>
      </c>
      <c r="M27" s="186">
        <v>0.1874503164330388</v>
      </c>
      <c r="N27" s="186">
        <v>0.17333905284334308</v>
      </c>
      <c r="O27" s="186">
        <v>0.17366556677918796</v>
      </c>
      <c r="P27" s="186">
        <v>0.18624628619599728</v>
      </c>
      <c r="Q27" s="186">
        <v>8.5120929242406468E-2</v>
      </c>
      <c r="R27" s="186">
        <v>0.1773409272243946</v>
      </c>
      <c r="S27" s="186">
        <v>0.16735750663743529</v>
      </c>
      <c r="T27" s="186">
        <v>0.15519746168433016</v>
      </c>
      <c r="U27" s="186">
        <v>0.13330938828550545</v>
      </c>
      <c r="V27" s="186">
        <v>0.12407543133287688</v>
      </c>
      <c r="W27" s="186">
        <v>0.14570646436480891</v>
      </c>
      <c r="X27" s="186">
        <v>0.14394005254619482</v>
      </c>
      <c r="Y27" s="186">
        <v>0.12956743220615369</v>
      </c>
      <c r="Z27" s="186">
        <v>0.15135221009095631</v>
      </c>
      <c r="AA27" s="186">
        <v>0.14284931913919974</v>
      </c>
      <c r="AB27" s="186">
        <v>0.1483998329529988</v>
      </c>
      <c r="AC27" s="186">
        <v>0.13461834241240705</v>
      </c>
      <c r="AD27" s="186">
        <v>0.15839351736344345</v>
      </c>
      <c r="AE27" s="186">
        <v>0.15437578463254045</v>
      </c>
      <c r="AF27" s="186">
        <v>0.16410848089826408</v>
      </c>
      <c r="AG27" s="186">
        <v>0.13314343685099814</v>
      </c>
      <c r="AH27" s="190">
        <v>0.15294271731326378</v>
      </c>
      <c r="AI27" s="190">
        <v>0.15599986981776295</v>
      </c>
      <c r="AJ27" s="190">
        <v>0.15082112913402865</v>
      </c>
      <c r="AK27" s="190">
        <v>0.14325117677153226</v>
      </c>
      <c r="AL27" s="190">
        <v>0.14423113972582488</v>
      </c>
      <c r="AM27" s="190">
        <v>0.14772005681412304</v>
      </c>
      <c r="AN27" s="190">
        <v>0.14091084394381295</v>
      </c>
      <c r="AO27" s="190">
        <v>9.5358433027917355E-2</v>
      </c>
      <c r="AP27" s="190">
        <v>0.11692578731182765</v>
      </c>
      <c r="AQ27" s="190">
        <v>0.12422290472037942</v>
      </c>
      <c r="AR27" s="190">
        <v>0.11083063603224808</v>
      </c>
      <c r="AS27" s="186">
        <v>0.1155525257893754</v>
      </c>
      <c r="AT27" s="186">
        <v>0.12501225336036753</v>
      </c>
      <c r="AU27" s="190">
        <v>0.10648850097313485</v>
      </c>
      <c r="AV27" s="190">
        <v>0.10391595579031206</v>
      </c>
      <c r="AW27" s="190">
        <v>9.0949786226141416E-2</v>
      </c>
      <c r="AX27" s="190"/>
      <c r="AY27" s="190"/>
      <c r="BA27" s="199"/>
      <c r="BB27" s="190"/>
      <c r="BC27" s="190"/>
      <c r="BD27" s="190"/>
      <c r="BE27" s="190"/>
      <c r="BF27" s="190"/>
    </row>
    <row r="28" spans="1:58" x14ac:dyDescent="0.4">
      <c r="A28" s="185" t="s">
        <v>125</v>
      </c>
      <c r="B28" s="186">
        <f t="shared" si="4"/>
        <v>-2.6814984924259044E-2</v>
      </c>
      <c r="C28" s="186">
        <f t="shared" si="5"/>
        <v>7.9790432869063732E-2</v>
      </c>
      <c r="D28" s="186">
        <v>0.23781429117307173</v>
      </c>
      <c r="E28" s="186">
        <v>0.24436698827978065</v>
      </c>
      <c r="F28" s="186">
        <v>0.235711199304423</v>
      </c>
      <c r="G28" s="186">
        <v>0.22408639947980483</v>
      </c>
      <c r="H28" s="186">
        <v>0.22024115414801909</v>
      </c>
      <c r="I28" s="186">
        <v>0.22492457791575876</v>
      </c>
      <c r="J28" s="186">
        <v>0.19324603347350042</v>
      </c>
      <c r="K28" s="186">
        <v>0.1812874131040671</v>
      </c>
      <c r="L28" s="186">
        <v>0.18312953241725663</v>
      </c>
      <c r="M28" s="186">
        <v>0.20182225560256375</v>
      </c>
      <c r="N28" s="186">
        <v>0.19220765249630503</v>
      </c>
      <c r="O28" s="186">
        <v>0.20426904085952283</v>
      </c>
      <c r="P28" s="186">
        <v>0.19149795585562254</v>
      </c>
      <c r="Q28" s="186">
        <v>0.20769789153933885</v>
      </c>
      <c r="R28" s="186">
        <v>0.22094455894625534</v>
      </c>
      <c r="S28" s="186">
        <v>0.21623938766513848</v>
      </c>
      <c r="T28" s="186">
        <v>0.22916155541130565</v>
      </c>
      <c r="U28" s="186">
        <v>0.23429552571542867</v>
      </c>
      <c r="V28" s="186">
        <v>0.19767625399295313</v>
      </c>
      <c r="W28" s="186">
        <v>0.18480355807652252</v>
      </c>
      <c r="X28" s="186">
        <v>0.18172966732843376</v>
      </c>
      <c r="Y28" s="186">
        <v>0.19449682101293167</v>
      </c>
      <c r="Z28" s="186">
        <v>0.1676900044237353</v>
      </c>
      <c r="AA28" s="186">
        <v>0.15588047802402066</v>
      </c>
      <c r="AB28" s="186">
        <v>0.15165939675373402</v>
      </c>
      <c r="AC28" s="186">
        <v>0.18324819038085183</v>
      </c>
      <c r="AD28" s="186">
        <v>0.16983207649166016</v>
      </c>
      <c r="AE28" s="186">
        <v>0.16964613553249655</v>
      </c>
      <c r="AF28" s="186">
        <v>0.17285928381199075</v>
      </c>
      <c r="AG28" s="186">
        <v>0.18599631446106765</v>
      </c>
      <c r="AH28" s="190">
        <v>0.1588696147211697</v>
      </c>
      <c r="AI28" s="190">
        <v>0.16200312055860117</v>
      </c>
      <c r="AJ28" s="190">
        <v>0.16384445535058151</v>
      </c>
      <c r="AK28" s="190">
        <v>0.17945206288830418</v>
      </c>
      <c r="AL28" s="190">
        <v>0.16517238115194097</v>
      </c>
      <c r="AM28" s="190">
        <v>0.14851739431435795</v>
      </c>
      <c r="AN28" s="190">
        <v>0.15950790178388866</v>
      </c>
      <c r="AO28" s="190">
        <v>0.16979664313973483</v>
      </c>
      <c r="AP28" s="190">
        <v>0.14031636504972886</v>
      </c>
      <c r="AQ28" s="190">
        <v>0.16488375052701723</v>
      </c>
      <c r="AR28" s="190">
        <v>0.16699553928381258</v>
      </c>
      <c r="AS28" s="186">
        <v>0.17656597435910579</v>
      </c>
      <c r="AT28" s="186">
        <v>0.1560890390380355</v>
      </c>
      <c r="AU28" s="190">
        <v>0.16623729113678282</v>
      </c>
      <c r="AV28" s="190">
        <v>0.16284085567151949</v>
      </c>
      <c r="AW28" s="190">
        <v>0.17277438384070834</v>
      </c>
      <c r="AX28" s="190"/>
      <c r="AY28" s="190"/>
      <c r="BA28" s="199"/>
      <c r="BB28" s="190"/>
      <c r="BC28" s="190"/>
      <c r="BD28" s="190"/>
      <c r="BE28" s="190"/>
      <c r="BF28" s="190"/>
    </row>
    <row r="29" spans="1:58" x14ac:dyDescent="0.4">
      <c r="A29" s="185" t="s">
        <v>397</v>
      </c>
      <c r="B29" s="186">
        <f t="shared" si="4"/>
        <v>-4.5023016110926739E-2</v>
      </c>
      <c r="C29" s="186">
        <f t="shared" si="5"/>
        <v>-0.16720132994664716</v>
      </c>
      <c r="D29" s="186">
        <v>0.16003557995352716</v>
      </c>
      <c r="E29" s="186">
        <v>0.16758056231030205</v>
      </c>
      <c r="F29" s="186">
        <v>0.17883924688980121</v>
      </c>
      <c r="G29" s="186">
        <v>0.18521600933365492</v>
      </c>
      <c r="H29" s="186">
        <v>0.19216598886171918</v>
      </c>
      <c r="I29" s="186">
        <v>0.12136020416297839</v>
      </c>
      <c r="J29" s="186">
        <v>0.13282302736218971</v>
      </c>
      <c r="K29" s="186">
        <v>0.11819217114287542</v>
      </c>
      <c r="L29" s="186">
        <v>0.1178192472886994</v>
      </c>
      <c r="M29" s="186">
        <v>0.13230374298425901</v>
      </c>
      <c r="N29" s="186">
        <v>0.13147264403470524</v>
      </c>
      <c r="O29" s="186">
        <v>0.14932376887019053</v>
      </c>
      <c r="P29" s="186">
        <v>0.15217855278171319</v>
      </c>
      <c r="Q29" s="186">
        <v>0.14844106095470633</v>
      </c>
      <c r="R29" s="186">
        <v>0.16160826629797653</v>
      </c>
      <c r="S29" s="186">
        <v>0.15798071169050951</v>
      </c>
      <c r="T29" s="186">
        <v>0.13604770945428529</v>
      </c>
      <c r="U29" s="186">
        <v>6.8220302638290653E-2</v>
      </c>
      <c r="V29" s="186">
        <v>0.10254746619004733</v>
      </c>
      <c r="W29" s="186">
        <v>0.10614317994753722</v>
      </c>
      <c r="X29" s="186">
        <v>0.10373967336688399</v>
      </c>
      <c r="Y29" s="186">
        <v>8.9270209995782279E-2</v>
      </c>
      <c r="Z29" s="186">
        <v>9.3897085870679964E-2</v>
      </c>
      <c r="AA29" s="186">
        <v>6.9913067625020461E-2</v>
      </c>
      <c r="AB29" s="186">
        <v>0.10135588387414242</v>
      </c>
      <c r="AC29" s="186">
        <v>0.1195504469603807</v>
      </c>
      <c r="AD29" s="186">
        <v>0.10383841959380871</v>
      </c>
      <c r="AE29" s="186">
        <v>0.10859395841841592</v>
      </c>
      <c r="AF29" s="186">
        <v>0.10785679186112297</v>
      </c>
      <c r="AG29" s="186">
        <v>-4.5710010998056175E-2</v>
      </c>
      <c r="AH29" s="190">
        <v>0.10154025134044443</v>
      </c>
      <c r="AI29" s="190">
        <v>0.10849588589377837</v>
      </c>
      <c r="AJ29" s="190">
        <v>0.10608956600314556</v>
      </c>
      <c r="AK29" s="190">
        <v>0.1880474728515831</v>
      </c>
      <c r="AL29" s="190">
        <v>8.584681390879921E-2</v>
      </c>
      <c r="AM29" s="190">
        <v>7.0755914807945491E-2</v>
      </c>
      <c r="AN29" s="190">
        <v>7.016499549163667E-2</v>
      </c>
      <c r="AO29" s="190">
        <v>-9.5844657947946998E-2</v>
      </c>
      <c r="AP29" s="190">
        <v>7.1725019909905291E-2</v>
      </c>
      <c r="AQ29" s="190">
        <v>7.9093978421696257E-2</v>
      </c>
      <c r="AR29" s="190">
        <v>6.6048756767547789E-2</v>
      </c>
      <c r="AS29" s="186">
        <v>4.2868067860545617E-2</v>
      </c>
      <c r="AT29" s="186">
        <v>7.0971302097698322E-2</v>
      </c>
      <c r="AU29" s="190">
        <v>6.5152340995467448E-2</v>
      </c>
      <c r="AV29" s="190">
        <v>7.0381462775549672E-2</v>
      </c>
      <c r="AW29" s="190">
        <v>6.0414448333259783E-2</v>
      </c>
      <c r="AX29" s="190"/>
      <c r="AY29" s="190"/>
      <c r="BA29" s="199"/>
      <c r="BB29" s="190"/>
      <c r="BC29" s="190"/>
      <c r="BD29" s="190"/>
      <c r="BE29" s="190"/>
      <c r="BF29" s="190"/>
    </row>
    <row r="30" spans="1:58" x14ac:dyDescent="0.4">
      <c r="A30" s="185" t="s">
        <v>126</v>
      </c>
      <c r="B30" s="186">
        <f t="shared" si="4"/>
        <v>0.53585125709082804</v>
      </c>
      <c r="C30" s="186">
        <f t="shared" si="5"/>
        <v>-0.10549751742725855</v>
      </c>
      <c r="D30" s="186">
        <v>0.13029119045888399</v>
      </c>
      <c r="E30" s="186">
        <v>8.4833208852319708E-2</v>
      </c>
      <c r="F30" s="186">
        <v>0.14799613297697176</v>
      </c>
      <c r="G30" s="186">
        <v>0.11487431298580518</v>
      </c>
      <c r="H30" s="186">
        <v>0.145657718114034</v>
      </c>
      <c r="I30" s="186">
        <v>0.12841386021650758</v>
      </c>
      <c r="J30" s="186">
        <v>0.16467482040769582</v>
      </c>
      <c r="K30" s="186">
        <v>0.15218396590484753</v>
      </c>
      <c r="L30" s="186">
        <v>0.11843234202222318</v>
      </c>
      <c r="M30" s="186">
        <v>0.10833021682080159</v>
      </c>
      <c r="N30" s="186">
        <v>0.1629157456235184</v>
      </c>
      <c r="O30" s="186">
        <v>0.1241145205289101</v>
      </c>
      <c r="P30" s="186">
        <v>0.13259653577732</v>
      </c>
      <c r="Q30" s="186">
        <v>7.4716143547374825E-2</v>
      </c>
      <c r="R30" s="186">
        <v>0.15134142302930359</v>
      </c>
      <c r="S30" s="186">
        <v>0.1166262705690813</v>
      </c>
      <c r="T30" s="186">
        <v>0.13075957616203968</v>
      </c>
      <c r="U30" s="186">
        <v>9.5826463442169094E-2</v>
      </c>
      <c r="V30" s="186">
        <v>0.13632718946909156</v>
      </c>
      <c r="W30" s="186">
        <v>9.9808278189357613E-2</v>
      </c>
      <c r="X30" s="186">
        <v>0.1119997613672155</v>
      </c>
      <c r="Y30" s="186">
        <v>7.7367258632619035E-2</v>
      </c>
      <c r="Z30" s="186">
        <v>0.13819414478392239</v>
      </c>
      <c r="AA30" s="186">
        <v>9.2066282505729333E-2</v>
      </c>
      <c r="AB30" s="186">
        <v>0.11452861832848478</v>
      </c>
      <c r="AC30" s="186">
        <v>5.325405002505907E-3</v>
      </c>
      <c r="AD30" s="186">
        <v>0.1208418870315924</v>
      </c>
      <c r="AE30" s="186">
        <v>9.7148520295784399E-2</v>
      </c>
      <c r="AF30" s="186">
        <v>0.10571960544150671</v>
      </c>
      <c r="AG30" s="186">
        <v>7.9313440049766176E-2</v>
      </c>
      <c r="AH30" s="190">
        <v>0.12529501770951412</v>
      </c>
      <c r="AI30" s="190">
        <v>8.1434281441199352E-2</v>
      </c>
      <c r="AJ30" s="190">
        <v>8.6506114711891083E-2</v>
      </c>
      <c r="AK30" s="190">
        <v>7.7954977889005794E-2</v>
      </c>
      <c r="AL30" s="190">
        <v>0.11719169357703933</v>
      </c>
      <c r="AM30" s="190">
        <v>8.9738603300496197E-2</v>
      </c>
      <c r="AN30" s="190">
        <v>7.5853349283677152E-2</v>
      </c>
      <c r="AO30" s="190">
        <v>8.2077707247409981E-2</v>
      </c>
      <c r="AP30" s="190">
        <v>0.10557123877174246</v>
      </c>
      <c r="AQ30" s="190">
        <v>8.7718081717248944E-2</v>
      </c>
      <c r="AR30" s="190">
        <v>9.0060495975900087E-2</v>
      </c>
      <c r="AS30" s="186">
        <v>6.8730912908589167E-2</v>
      </c>
      <c r="AT30" s="186">
        <v>0.10798168376846255</v>
      </c>
      <c r="AU30" s="190">
        <v>8.4846283868024341E-2</v>
      </c>
      <c r="AV30" s="190">
        <v>8.6169350665370417E-2</v>
      </c>
      <c r="AW30" s="190">
        <v>6.3213697010877423E-2</v>
      </c>
      <c r="AX30" s="190"/>
      <c r="AY30" s="190"/>
      <c r="BA30" s="199"/>
      <c r="BB30" s="190"/>
      <c r="BC30" s="190"/>
      <c r="BD30" s="190"/>
      <c r="BE30" s="190"/>
      <c r="BF30" s="190"/>
    </row>
    <row r="31" spans="1:58" x14ac:dyDescent="0.4">
      <c r="A31" s="185" t="s">
        <v>314</v>
      </c>
      <c r="B31" s="186">
        <f t="shared" si="4"/>
        <v>-0.13496595842188208</v>
      </c>
      <c r="C31" s="186">
        <f t="shared" si="5"/>
        <v>0.17642084608130038</v>
      </c>
      <c r="D31" s="186">
        <v>0.21048225150560254</v>
      </c>
      <c r="E31" s="186">
        <v>0.24332250684795126</v>
      </c>
      <c r="F31" s="186">
        <v>0.22262599079085757</v>
      </c>
      <c r="G31" s="186">
        <v>0.23214655795181319</v>
      </c>
      <c r="H31" s="186">
        <v>0.17891747855941723</v>
      </c>
      <c r="I31" s="186">
        <v>0.17681435884500993</v>
      </c>
      <c r="J31" s="186">
        <v>0.12274618158165874</v>
      </c>
      <c r="K31" s="186">
        <v>0.14832605558270212</v>
      </c>
      <c r="L31" s="186">
        <v>0.19785646009282137</v>
      </c>
      <c r="M31" s="186">
        <v>0.19110969493272625</v>
      </c>
      <c r="N31" s="186">
        <v>0.1968394790984157</v>
      </c>
      <c r="O31" s="186">
        <v>0.24883141726857183</v>
      </c>
      <c r="P31" s="186">
        <v>0.17311783336255401</v>
      </c>
      <c r="Q31" s="186">
        <v>0.2080519900564107</v>
      </c>
      <c r="R31" s="186">
        <v>0.20235589500190515</v>
      </c>
      <c r="S31" s="186">
        <v>0.17697394586821669</v>
      </c>
      <c r="T31" s="186">
        <v>0.18817837415503005</v>
      </c>
      <c r="U31" s="186">
        <v>0.17703972090023054</v>
      </c>
      <c r="V31" s="186">
        <v>0.21020843630827579</v>
      </c>
      <c r="W31" s="186">
        <v>0.17056503366013889</v>
      </c>
      <c r="X31" s="186">
        <v>0.19048382834676938</v>
      </c>
      <c r="Y31" s="186">
        <v>0.22283049232885904</v>
      </c>
      <c r="Z31" s="186">
        <v>0.19739252828912468</v>
      </c>
      <c r="AA31" s="186">
        <v>0.20120724382858265</v>
      </c>
      <c r="AB31" s="186">
        <v>0.3535379363572605</v>
      </c>
      <c r="AC31" s="186">
        <v>0.1653235960715185</v>
      </c>
      <c r="AD31" s="186">
        <v>0.17473227599295105</v>
      </c>
      <c r="AE31" s="186">
        <v>0.18862107623318386</v>
      </c>
      <c r="AF31" s="186">
        <v>0.21831905937001014</v>
      </c>
      <c r="AG31" s="186">
        <v>0.2774747750204527</v>
      </c>
      <c r="AH31" s="190">
        <v>0.18122270742358079</v>
      </c>
      <c r="AI31" s="190">
        <v>0.16782492976489724</v>
      </c>
      <c r="AJ31" s="190">
        <v>0.1393939393939394</v>
      </c>
      <c r="AK31" s="190">
        <v>0.1191784784495227</v>
      </c>
      <c r="AL31" s="190">
        <v>0.11771718074802563</v>
      </c>
      <c r="AM31" s="190">
        <v>0.12752075919335706</v>
      </c>
      <c r="AN31" s="190">
        <v>0.13094310210444271</v>
      </c>
      <c r="AO31" s="190">
        <v>0.10426472685779489</v>
      </c>
      <c r="AP31" s="190">
        <v>0.13036690085870412</v>
      </c>
      <c r="AQ31" s="190">
        <v>9.1230769230769226E-2</v>
      </c>
      <c r="AR31" s="190">
        <v>0.16065519523494376</v>
      </c>
      <c r="AS31" s="186">
        <v>0.10357041654859733</v>
      </c>
      <c r="AT31" s="186">
        <v>0.11281574461490779</v>
      </c>
      <c r="AU31" s="190">
        <v>9.1462462931169025E-2</v>
      </c>
      <c r="AV31" s="190">
        <v>7.3937771830043492E-2</v>
      </c>
      <c r="AW31" s="190">
        <v>-2.252707581227437E-2</v>
      </c>
      <c r="AX31" s="190"/>
      <c r="AY31" s="190"/>
      <c r="BA31" s="199"/>
      <c r="BB31" s="190"/>
      <c r="BC31" s="190"/>
      <c r="BD31" s="190"/>
      <c r="BE31" s="190"/>
      <c r="BF31" s="190"/>
    </row>
    <row r="32" spans="1:58" s="179" customFormat="1" x14ac:dyDescent="0.4">
      <c r="A32" s="191" t="s">
        <v>24</v>
      </c>
      <c r="B32" s="192">
        <f t="shared" si="4"/>
        <v>-9.8473304664304706E-2</v>
      </c>
      <c r="C32" s="192">
        <f t="shared" si="5"/>
        <v>-7.195901040271202E-2</v>
      </c>
      <c r="D32" s="192">
        <v>0.12085711226354404</v>
      </c>
      <c r="E32" s="192">
        <v>0.13405827346969609</v>
      </c>
      <c r="F32" s="192">
        <v>0.13167381826391233</v>
      </c>
      <c r="G32" s="192">
        <v>0.13536877284392831</v>
      </c>
      <c r="H32" s="192">
        <v>0.13022820502356097</v>
      </c>
      <c r="I32" s="192">
        <v>0.10389729886351276</v>
      </c>
      <c r="J32" s="192">
        <v>0.10931318983149081</v>
      </c>
      <c r="K32" s="192">
        <v>8.4883373900301803E-2</v>
      </c>
      <c r="L32" s="192">
        <v>5.8631263175576244E-2</v>
      </c>
      <c r="M32" s="192">
        <v>0.1061133365471657</v>
      </c>
      <c r="N32" s="192">
        <v>0.11213565917616758</v>
      </c>
      <c r="O32" s="192">
        <v>0.11406268926786187</v>
      </c>
      <c r="P32" s="192">
        <v>0.11211436927857679</v>
      </c>
      <c r="Q32" s="192">
        <v>0.10103677208743679</v>
      </c>
      <c r="R32" s="192">
        <v>0.12125165670467826</v>
      </c>
      <c r="S32" s="192">
        <v>0.11549800920667584</v>
      </c>
      <c r="T32" s="192">
        <v>0.1140492079851171</v>
      </c>
      <c r="U32" s="192">
        <v>0.10270236061885031</v>
      </c>
      <c r="V32" s="192">
        <v>0.10164749338145562</v>
      </c>
      <c r="W32" s="192">
        <v>0.10136874401202751</v>
      </c>
      <c r="X32" s="192">
        <v>9.8436000873383014E-2</v>
      </c>
      <c r="Y32" s="192">
        <v>9.2655472320979218E-2</v>
      </c>
      <c r="Z32" s="192">
        <v>9.8641234855432691E-2</v>
      </c>
      <c r="AA32" s="192">
        <v>9.0304491689420285E-2</v>
      </c>
      <c r="AB32" s="192">
        <v>8.7472037952982667E-2</v>
      </c>
      <c r="AC32" s="192">
        <v>7.9827003131535332E-2</v>
      </c>
      <c r="AD32" s="192">
        <v>8.9666767807327852E-2</v>
      </c>
      <c r="AE32" s="192">
        <v>9.2909676243833034E-2</v>
      </c>
      <c r="AF32" s="192">
        <v>9.4477126926980182E-2</v>
      </c>
      <c r="AG32" s="192">
        <v>8.9825643514267486E-2</v>
      </c>
      <c r="AH32" s="196">
        <v>0.10099287041700378</v>
      </c>
      <c r="AI32" s="196">
        <v>0.10073379317750085</v>
      </c>
      <c r="AJ32" s="196">
        <v>9.7584898983632068E-2</v>
      </c>
      <c r="AK32" s="196">
        <v>9.7596100527673146E-2</v>
      </c>
      <c r="AL32" s="196">
        <v>9.6345419831311632E-2</v>
      </c>
      <c r="AM32" s="196">
        <v>9.5105041999730258E-2</v>
      </c>
      <c r="AN32" s="196">
        <v>9.5171799454255815E-2</v>
      </c>
      <c r="AO32" s="196">
        <v>8.0374891429939588E-2</v>
      </c>
      <c r="AP32" s="196">
        <v>8.9222621802131877E-2</v>
      </c>
      <c r="AQ32" s="196">
        <v>9.4878809421446483E-2</v>
      </c>
      <c r="AR32" s="196">
        <v>9.0674747758055146E-2</v>
      </c>
      <c r="AS32" s="192">
        <v>8.7037751900159097E-2</v>
      </c>
      <c r="AT32" s="192">
        <v>9.5078937071402136E-2</v>
      </c>
      <c r="AU32" s="196">
        <v>9.4411857923775475E-2</v>
      </c>
      <c r="AV32" s="196">
        <v>8.9919776972502266E-2</v>
      </c>
      <c r="AW32" s="196">
        <v>8.6759781005966805E-2</v>
      </c>
      <c r="AX32" s="196"/>
      <c r="AY32" s="196"/>
      <c r="BA32" s="195"/>
      <c r="BB32" s="196"/>
      <c r="BC32" s="196"/>
      <c r="BD32" s="196"/>
      <c r="BE32" s="196"/>
      <c r="BF32" s="196"/>
    </row>
    <row r="33" spans="1:58" x14ac:dyDescent="0.4">
      <c r="A33" s="200" t="str">
        <f>A18</f>
        <v xml:space="preserve">   *Proforma Q2,'16 &amp; prior, RE in Financials; back data for FYI only</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U33" s="180"/>
      <c r="AV33" s="180"/>
      <c r="AW33" s="180"/>
      <c r="AX33" s="180"/>
      <c r="AY33" s="180"/>
      <c r="BA33" s="180"/>
      <c r="BB33" s="180"/>
      <c r="BC33" s="180"/>
      <c r="BD33" s="180"/>
      <c r="BE33" s="180"/>
      <c r="BF33" s="180"/>
    </row>
    <row r="34" spans="1:58" x14ac:dyDescent="0.4">
      <c r="A34" s="197"/>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U34" s="180"/>
      <c r="AV34" s="180"/>
      <c r="AW34" s="180"/>
      <c r="AX34" s="180"/>
      <c r="AY34" s="180"/>
      <c r="BA34" s="180"/>
      <c r="BB34" s="180"/>
      <c r="BC34" s="180"/>
      <c r="BD34" s="180"/>
      <c r="BE34" s="180"/>
      <c r="BF34" s="180"/>
    </row>
    <row r="35" spans="1:58" x14ac:dyDescent="0.4">
      <c r="A35" s="201" t="s">
        <v>138</v>
      </c>
      <c r="B35" s="182" t="str">
        <f>B5</f>
        <v>% CHG Q1/Q4</v>
      </c>
      <c r="C35" s="182" t="str">
        <f>C5</f>
        <v>% CHG Q1/Q1</v>
      </c>
      <c r="D35" s="182">
        <f>D5</f>
        <v>44621</v>
      </c>
      <c r="E35" s="182">
        <f>E5</f>
        <v>44531</v>
      </c>
      <c r="F35" s="182">
        <v>44440</v>
      </c>
      <c r="G35" s="182">
        <v>44348</v>
      </c>
      <c r="H35" s="182">
        <f>H5</f>
        <v>44286</v>
      </c>
      <c r="I35" s="182">
        <f>I5</f>
        <v>44196</v>
      </c>
      <c r="J35" s="182">
        <v>44094</v>
      </c>
      <c r="K35" s="182">
        <f>K5</f>
        <v>43999</v>
      </c>
      <c r="L35" s="182">
        <v>43908</v>
      </c>
      <c r="M35" s="182">
        <v>43817</v>
      </c>
      <c r="N35" s="182">
        <v>43726</v>
      </c>
      <c r="O35" s="182">
        <v>43634</v>
      </c>
      <c r="P35" s="182">
        <v>43542</v>
      </c>
      <c r="Q35" s="182">
        <v>43452</v>
      </c>
      <c r="R35" s="182">
        <v>43361</v>
      </c>
      <c r="S35" s="182">
        <v>43269</v>
      </c>
      <c r="T35" s="182">
        <f>T5</f>
        <v>43160</v>
      </c>
      <c r="U35" s="182">
        <f t="shared" ref="U35:AW35" si="6">U5</f>
        <v>43070</v>
      </c>
      <c r="V35" s="182">
        <f t="shared" si="6"/>
        <v>42979</v>
      </c>
      <c r="W35" s="182">
        <f t="shared" si="6"/>
        <v>42887</v>
      </c>
      <c r="X35" s="182">
        <f t="shared" si="6"/>
        <v>42795</v>
      </c>
      <c r="Y35" s="182">
        <f t="shared" si="6"/>
        <v>42705</v>
      </c>
      <c r="Z35" s="182">
        <f t="shared" si="6"/>
        <v>42614</v>
      </c>
      <c r="AA35" s="182">
        <f t="shared" si="6"/>
        <v>42522</v>
      </c>
      <c r="AB35" s="182">
        <f t="shared" si="6"/>
        <v>42430</v>
      </c>
      <c r="AC35" s="182">
        <f t="shared" si="6"/>
        <v>42339</v>
      </c>
      <c r="AD35" s="182">
        <f t="shared" si="6"/>
        <v>42248</v>
      </c>
      <c r="AE35" s="182">
        <f t="shared" si="6"/>
        <v>42156</v>
      </c>
      <c r="AF35" s="182">
        <f t="shared" si="6"/>
        <v>42064</v>
      </c>
      <c r="AG35" s="182">
        <f t="shared" si="6"/>
        <v>41974</v>
      </c>
      <c r="AH35" s="182">
        <f t="shared" si="6"/>
        <v>41883</v>
      </c>
      <c r="AI35" s="182">
        <f t="shared" si="6"/>
        <v>41791</v>
      </c>
      <c r="AJ35" s="182">
        <f t="shared" si="6"/>
        <v>41699</v>
      </c>
      <c r="AK35" s="182">
        <f t="shared" si="6"/>
        <v>41609</v>
      </c>
      <c r="AL35" s="182">
        <f t="shared" si="6"/>
        <v>41518</v>
      </c>
      <c r="AM35" s="182">
        <f t="shared" si="6"/>
        <v>41426</v>
      </c>
      <c r="AN35" s="182">
        <f t="shared" si="6"/>
        <v>41334</v>
      </c>
      <c r="AO35" s="182">
        <f t="shared" si="6"/>
        <v>41244</v>
      </c>
      <c r="AP35" s="182">
        <f t="shared" si="6"/>
        <v>41153</v>
      </c>
      <c r="AQ35" s="182">
        <f t="shared" si="6"/>
        <v>41061</v>
      </c>
      <c r="AR35" s="182">
        <f t="shared" si="6"/>
        <v>40969</v>
      </c>
      <c r="AS35" s="182">
        <f t="shared" si="6"/>
        <v>40878</v>
      </c>
      <c r="AT35" s="182">
        <f t="shared" si="6"/>
        <v>40787</v>
      </c>
      <c r="AU35" s="182">
        <f t="shared" si="6"/>
        <v>40695</v>
      </c>
      <c r="AV35" s="182">
        <f t="shared" si="6"/>
        <v>40603</v>
      </c>
      <c r="AW35" s="182">
        <f t="shared" si="6"/>
        <v>40513</v>
      </c>
      <c r="AX35" s="182"/>
      <c r="AY35" s="182"/>
    </row>
    <row r="36" spans="1:58" x14ac:dyDescent="0.4">
      <c r="A36" s="185" t="s">
        <v>118</v>
      </c>
      <c r="B36" s="186">
        <f>D36/E36-1</f>
        <v>9.802144046796335E-2</v>
      </c>
      <c r="C36" s="186">
        <f>D36/H36-1</f>
        <v>0.37728493729697199</v>
      </c>
      <c r="D36" s="186">
        <v>9.36989248689344E-2</v>
      </c>
      <c r="E36" s="186">
        <v>8.5334330838750347E-2</v>
      </c>
      <c r="F36" s="186">
        <v>7.9850597237794391E-2</v>
      </c>
      <c r="G36" s="186">
        <v>7.4135932228017259E-2</v>
      </c>
      <c r="H36" s="186">
        <v>6.8031619552033851E-2</v>
      </c>
      <c r="I36" s="186">
        <v>5.5453237932220817E-2</v>
      </c>
      <c r="J36" s="186">
        <v>5.6908712294032694E-2</v>
      </c>
      <c r="K36" s="186">
        <v>4.6236249960527769E-2</v>
      </c>
      <c r="L36" s="186">
        <v>7.7244583660223534E-2</v>
      </c>
      <c r="M36" s="186">
        <v>8.2794104045007297E-2</v>
      </c>
      <c r="N36" s="186">
        <v>8.4649541018842228E-2</v>
      </c>
      <c r="O36" s="186">
        <v>8.9538260014131288E-2</v>
      </c>
      <c r="P36" s="186">
        <v>8.3743729216569932E-2</v>
      </c>
      <c r="Q36" s="186">
        <v>9.3523328535144334E-2</v>
      </c>
      <c r="R36" s="186">
        <v>9.6092894098272083E-2</v>
      </c>
      <c r="S36" s="186">
        <v>9.6345158810898765E-2</v>
      </c>
      <c r="T36" s="186">
        <v>8.9884603087923717E-2</v>
      </c>
      <c r="U36" s="186">
        <v>8.7469796502554695E-2</v>
      </c>
      <c r="V36" s="186">
        <v>8.3382258717213567E-2</v>
      </c>
      <c r="W36" s="186">
        <v>8.0175119953500948E-2</v>
      </c>
      <c r="X36" s="186">
        <v>8.7454996431445969E-2</v>
      </c>
      <c r="Y36" s="186">
        <v>7.5159923400991743E-2</v>
      </c>
      <c r="Z36" s="186">
        <v>7.397436459966808E-2</v>
      </c>
      <c r="AA36" s="186">
        <v>7.3793828699985561E-2</v>
      </c>
      <c r="AB36" s="186">
        <v>6.4930110084942302E-2</v>
      </c>
      <c r="AC36" s="186">
        <v>7.6976179256843358E-2</v>
      </c>
      <c r="AD36" s="186">
        <v>8.9798368170894441E-2</v>
      </c>
      <c r="AE36" s="186">
        <v>0.10051496704970346</v>
      </c>
      <c r="AF36" s="186">
        <v>9.4243406028850937E-2</v>
      </c>
      <c r="AG36" s="186">
        <v>0.11708451823082563</v>
      </c>
      <c r="AH36" s="190">
        <v>0.13874476611078126</v>
      </c>
      <c r="AI36" s="190">
        <v>0.14429757722674313</v>
      </c>
      <c r="AJ36" s="190">
        <v>0.14281693558414194</v>
      </c>
      <c r="AK36" s="190">
        <v>0.14023996957617801</v>
      </c>
      <c r="AL36" s="190">
        <v>0.14878806339607939</v>
      </c>
      <c r="AM36" s="190">
        <v>0.14566469522664643</v>
      </c>
      <c r="AN36" s="190">
        <v>0.14528702302803828</v>
      </c>
      <c r="AO36" s="190">
        <v>0.14364917384385989</v>
      </c>
      <c r="AP36" s="190">
        <v>0.15477381798806553</v>
      </c>
      <c r="AQ36" s="190">
        <v>0.15858202920007106</v>
      </c>
      <c r="AR36" s="190">
        <v>0.15972739469305414</v>
      </c>
      <c r="AS36" s="190">
        <v>0.15586504620722091</v>
      </c>
      <c r="AT36" s="190">
        <v>0.16262523224734318</v>
      </c>
      <c r="AU36" s="190">
        <v>0.15832807457776898</v>
      </c>
      <c r="AV36" s="190">
        <v>0.15296539754144148</v>
      </c>
      <c r="AW36" s="190">
        <v>0.13892147074421446</v>
      </c>
      <c r="AX36" s="190"/>
      <c r="AY36" s="190"/>
    </row>
    <row r="37" spans="1:58" x14ac:dyDescent="0.4">
      <c r="A37" s="185" t="s">
        <v>119</v>
      </c>
      <c r="B37" s="186">
        <f t="shared" ref="B37:B47" si="7">D37/E37-1</f>
        <v>5.5537169709073408E-2</v>
      </c>
      <c r="C37" s="186">
        <f t="shared" ref="C37:C47" si="8">D37/H37-1</f>
        <v>9.8741647746737327E-2</v>
      </c>
      <c r="D37" s="186">
        <v>3.4680763355998012E-2</v>
      </c>
      <c r="E37" s="186">
        <v>3.2856032313439712E-2</v>
      </c>
      <c r="F37" s="186">
        <v>3.4075916032675471E-2</v>
      </c>
      <c r="G37" s="186">
        <v>3.4458014265458928E-2</v>
      </c>
      <c r="H37" s="186">
        <v>3.1564074618560388E-2</v>
      </c>
      <c r="I37" s="186">
        <v>2.9762931888233542E-2</v>
      </c>
      <c r="J37" s="186">
        <v>3.0161503494622113E-2</v>
      </c>
      <c r="K37" s="186">
        <v>3.1213706614990865E-2</v>
      </c>
      <c r="L37" s="186">
        <v>3.1506393664032545E-2</v>
      </c>
      <c r="M37" s="186">
        <v>2.9273840738482833E-2</v>
      </c>
      <c r="N37" s="186">
        <v>3.1083528720075252E-2</v>
      </c>
      <c r="O37" s="186">
        <v>3.3744567749055168E-2</v>
      </c>
      <c r="P37" s="186">
        <v>3.1016372643385318E-2</v>
      </c>
      <c r="Q37" s="186">
        <v>3.0518664939571855E-2</v>
      </c>
      <c r="R37" s="186">
        <v>3.0739290720367168E-2</v>
      </c>
      <c r="S37" s="186">
        <v>3.2346917710336709E-2</v>
      </c>
      <c r="T37" s="186">
        <v>3.2596676006481098E-2</v>
      </c>
      <c r="U37" s="186">
        <v>3.0128689285722956E-2</v>
      </c>
      <c r="V37" s="186">
        <v>3.0135801064970272E-2</v>
      </c>
      <c r="W37" s="186">
        <v>3.1622241283846358E-2</v>
      </c>
      <c r="X37" s="186">
        <v>3.1678313463406209E-2</v>
      </c>
      <c r="Y37" s="186">
        <v>2.8647714792991989E-2</v>
      </c>
      <c r="Z37" s="186">
        <v>3.2481229823391557E-2</v>
      </c>
      <c r="AA37" s="186">
        <v>3.3752840413539785E-2</v>
      </c>
      <c r="AB37" s="186">
        <v>3.3460911643972177E-2</v>
      </c>
      <c r="AC37" s="186">
        <v>3.1007371903940099E-2</v>
      </c>
      <c r="AD37" s="186">
        <v>3.3440582856518922E-2</v>
      </c>
      <c r="AE37" s="186">
        <v>3.7186387713488603E-2</v>
      </c>
      <c r="AF37" s="186">
        <v>3.6030005017845222E-2</v>
      </c>
      <c r="AG37" s="186">
        <v>3.4835105594320161E-2</v>
      </c>
      <c r="AH37" s="190">
        <v>3.7095235211358518E-2</v>
      </c>
      <c r="AI37" s="190">
        <v>4.0798532772598407E-2</v>
      </c>
      <c r="AJ37" s="190">
        <v>4.1265993679064236E-2</v>
      </c>
      <c r="AK37" s="190">
        <v>3.8995660050487255E-2</v>
      </c>
      <c r="AL37" s="190">
        <v>4.0276772438138778E-2</v>
      </c>
      <c r="AM37" s="190">
        <v>4.0913719634299621E-2</v>
      </c>
      <c r="AN37" s="190">
        <v>4.097217111927802E-2</v>
      </c>
      <c r="AO37" s="190">
        <v>3.6709427343915892E-2</v>
      </c>
      <c r="AP37" s="190">
        <v>3.8981001803059974E-2</v>
      </c>
      <c r="AQ37" s="190">
        <v>3.9424532011474625E-2</v>
      </c>
      <c r="AR37" s="190">
        <v>3.911016868432185E-2</v>
      </c>
      <c r="AS37" s="190">
        <v>3.54531226217569E-2</v>
      </c>
      <c r="AT37" s="190">
        <v>3.8765249136000476E-2</v>
      </c>
      <c r="AU37" s="190">
        <v>3.9982609178748248E-2</v>
      </c>
      <c r="AV37" s="190">
        <v>3.9058401572542291E-2</v>
      </c>
      <c r="AW37" s="190">
        <v>3.5288132340019915E-2</v>
      </c>
      <c r="AX37" s="190"/>
      <c r="AY37" s="190"/>
    </row>
    <row r="38" spans="1:58" x14ac:dyDescent="0.4">
      <c r="A38" s="185" t="s">
        <v>120</v>
      </c>
      <c r="B38" s="186">
        <f t="shared" si="7"/>
        <v>-1.39151001657567E-3</v>
      </c>
      <c r="C38" s="186">
        <f t="shared" si="8"/>
        <v>-1.2551002722399174E-2</v>
      </c>
      <c r="D38" s="186">
        <v>9.7347536396352741E-2</v>
      </c>
      <c r="E38" s="186">
        <v>9.7483185225041083E-2</v>
      </c>
      <c r="F38" s="186">
        <v>0.10011310900364825</v>
      </c>
      <c r="G38" s="186">
        <v>0.10189609763620169</v>
      </c>
      <c r="H38" s="186">
        <v>9.8584875436341646E-2</v>
      </c>
      <c r="I38" s="186">
        <v>9.9162421461262015E-2</v>
      </c>
      <c r="J38" s="186">
        <v>9.9235431582183814E-2</v>
      </c>
      <c r="K38" s="186">
        <v>9.7170861562106997E-2</v>
      </c>
      <c r="L38" s="186">
        <v>0.10771378535062316</v>
      </c>
      <c r="M38" s="186">
        <v>0.10870543807625391</v>
      </c>
      <c r="N38" s="186">
        <v>0.11168648204879406</v>
      </c>
      <c r="O38" s="186">
        <v>0.11595548055805599</v>
      </c>
      <c r="P38" s="186">
        <v>0.11528096340988091</v>
      </c>
      <c r="Q38" s="186">
        <v>0.11817815763928037</v>
      </c>
      <c r="R38" s="186">
        <v>0.11906143549777848</v>
      </c>
      <c r="S38" s="186">
        <v>0.12028578886027143</v>
      </c>
      <c r="T38" s="186">
        <v>0.11699006587998377</v>
      </c>
      <c r="U38" s="186">
        <v>0.11598856190909143</v>
      </c>
      <c r="V38" s="186">
        <v>0.11954397498220924</v>
      </c>
      <c r="W38" s="186">
        <v>0.12069210989499138</v>
      </c>
      <c r="X38" s="186">
        <v>0.12080166052558891</v>
      </c>
      <c r="Y38" s="186">
        <v>0.11631112985601054</v>
      </c>
      <c r="Z38" s="186">
        <v>0.11440951519888148</v>
      </c>
      <c r="AA38" s="186">
        <v>0.12117576280172412</v>
      </c>
      <c r="AB38" s="186">
        <v>0.11740380356301952</v>
      </c>
      <c r="AC38" s="186">
        <v>0.11841956051719464</v>
      </c>
      <c r="AD38" s="186">
        <v>0.12141606279002728</v>
      </c>
      <c r="AE38" s="186">
        <v>0.11894779104904823</v>
      </c>
      <c r="AF38" s="186">
        <v>0.11630265200834079</v>
      </c>
      <c r="AG38" s="186">
        <v>0.11383995030022923</v>
      </c>
      <c r="AH38" s="190">
        <v>0.11348239827019015</v>
      </c>
      <c r="AI38" s="190">
        <v>0.11219613940335088</v>
      </c>
      <c r="AJ38" s="190">
        <v>0.10938042041686237</v>
      </c>
      <c r="AK38" s="190">
        <v>0.11240604833535871</v>
      </c>
      <c r="AL38" s="190">
        <v>0.1141373785152088</v>
      </c>
      <c r="AM38" s="190">
        <v>0.11159181579255008</v>
      </c>
      <c r="AN38" s="190">
        <v>0.10781330656989148</v>
      </c>
      <c r="AO38" s="190">
        <v>0.10636484198276594</v>
      </c>
      <c r="AP38" s="190">
        <v>0.11185800470593746</v>
      </c>
      <c r="AQ38" s="190">
        <v>0.1181421899709814</v>
      </c>
      <c r="AR38" s="190">
        <v>0.11368922611246453</v>
      </c>
      <c r="AS38" s="190">
        <v>0.1147884859859994</v>
      </c>
      <c r="AT38" s="190">
        <v>0.11516659002686649</v>
      </c>
      <c r="AU38" s="190">
        <v>0.11378936542229785</v>
      </c>
      <c r="AV38" s="190">
        <v>0.11051253604858326</v>
      </c>
      <c r="AW38" s="190">
        <v>0.11562202855442059</v>
      </c>
      <c r="AX38" s="190"/>
      <c r="AY38" s="190"/>
    </row>
    <row r="39" spans="1:58" x14ac:dyDescent="0.4">
      <c r="A39" s="185" t="s">
        <v>121</v>
      </c>
      <c r="B39" s="186">
        <f t="shared" si="7"/>
        <v>-6.3306717306377713E-2</v>
      </c>
      <c r="C39" s="186">
        <f t="shared" si="8"/>
        <v>-4.1224047722442592E-2</v>
      </c>
      <c r="D39" s="186">
        <v>0.12707747003230116</v>
      </c>
      <c r="E39" s="186">
        <v>0.13566604178783911</v>
      </c>
      <c r="F39" s="186">
        <v>0.13149204193725655</v>
      </c>
      <c r="G39" s="186">
        <v>0.13272203813406847</v>
      </c>
      <c r="H39" s="186">
        <v>0.13254136144156578</v>
      </c>
      <c r="I39" s="186">
        <v>0.13948523965661314</v>
      </c>
      <c r="J39" s="186">
        <v>0.13287093917458009</v>
      </c>
      <c r="K39" s="186">
        <v>0.1221233122983405</v>
      </c>
      <c r="L39" s="186">
        <v>0.12414051580462104</v>
      </c>
      <c r="M39" s="186">
        <v>0.13129807802726001</v>
      </c>
      <c r="N39" s="186">
        <v>0.12710943140650316</v>
      </c>
      <c r="O39" s="186">
        <v>0.12728815699417714</v>
      </c>
      <c r="P39" s="186">
        <v>0.12453555503960148</v>
      </c>
      <c r="Q39" s="186">
        <v>0.13643592289150791</v>
      </c>
      <c r="R39" s="186">
        <v>0.12626137883645794</v>
      </c>
      <c r="S39" s="186">
        <v>0.15210666231163564</v>
      </c>
      <c r="T39" s="186">
        <v>0.15409377203004518</v>
      </c>
      <c r="U39" s="186">
        <v>0.16262043095418824</v>
      </c>
      <c r="V39" s="186">
        <v>0.15406342088335917</v>
      </c>
      <c r="W39" s="186">
        <v>0.16063695396544367</v>
      </c>
      <c r="X39" s="186">
        <v>0.16142374874963095</v>
      </c>
      <c r="Y39" s="186">
        <v>0.16794837593158382</v>
      </c>
      <c r="Z39" s="186">
        <v>0.16483830309060341</v>
      </c>
      <c r="AA39" s="186">
        <v>0.16357668015869065</v>
      </c>
      <c r="AB39" s="186">
        <v>0.16233030879795432</v>
      </c>
      <c r="AC39" s="186">
        <v>0.16713120536996917</v>
      </c>
      <c r="AD39" s="186">
        <v>0.15731684820018332</v>
      </c>
      <c r="AE39" s="186">
        <v>0.15671235639579173</v>
      </c>
      <c r="AF39" s="186">
        <v>0.15167951152023509</v>
      </c>
      <c r="AG39" s="186">
        <v>0.15574534359591605</v>
      </c>
      <c r="AH39" s="190">
        <v>0.14629941997448687</v>
      </c>
      <c r="AI39" s="190">
        <v>0.14524770916242991</v>
      </c>
      <c r="AJ39" s="190">
        <v>0.14354022341391426</v>
      </c>
      <c r="AK39" s="190">
        <v>0.15093087192246452</v>
      </c>
      <c r="AL39" s="190">
        <v>0.14377515695562912</v>
      </c>
      <c r="AM39" s="190">
        <v>0.14170816749805148</v>
      </c>
      <c r="AN39" s="190">
        <v>0.13013528783354433</v>
      </c>
      <c r="AO39" s="190">
        <v>0.1359224482392003</v>
      </c>
      <c r="AP39" s="190">
        <v>0.12626775450895228</v>
      </c>
      <c r="AQ39" s="190">
        <v>0.12593544909140719</v>
      </c>
      <c r="AR39" s="190">
        <v>0.12327404171207389</v>
      </c>
      <c r="AS39" s="190">
        <v>0.13226878090145411</v>
      </c>
      <c r="AT39" s="190">
        <v>0.12278893454937105</v>
      </c>
      <c r="AU39" s="190">
        <v>0.12537061159875382</v>
      </c>
      <c r="AV39" s="190">
        <v>0.12578426869824</v>
      </c>
      <c r="AW39" s="190">
        <v>0.13342093735350413</v>
      </c>
      <c r="AX39" s="190"/>
      <c r="AY39" s="190"/>
    </row>
    <row r="40" spans="1:58" x14ac:dyDescent="0.4">
      <c r="A40" s="185" t="s">
        <v>122</v>
      </c>
      <c r="B40" s="186">
        <f t="shared" si="7"/>
        <v>1.4385339756890492E-3</v>
      </c>
      <c r="C40" s="186">
        <f t="shared" si="8"/>
        <v>-4.5571419001946389E-2</v>
      </c>
      <c r="D40" s="186">
        <v>9.9937105184056088E-2</v>
      </c>
      <c r="E40" s="186">
        <v>9.9793548773590701E-2</v>
      </c>
      <c r="F40" s="186">
        <v>0.1054613813463586</v>
      </c>
      <c r="G40" s="186">
        <v>0.10159025854698575</v>
      </c>
      <c r="H40" s="186">
        <v>0.10470883539504973</v>
      </c>
      <c r="I40" s="186">
        <v>0.10523555681066404</v>
      </c>
      <c r="J40" s="186">
        <v>0.11157771364911959</v>
      </c>
      <c r="K40" s="186">
        <v>0.11376101754986657</v>
      </c>
      <c r="L40" s="186">
        <v>0.11345552491681853</v>
      </c>
      <c r="M40" s="186">
        <v>0.10236298904388975</v>
      </c>
      <c r="N40" s="186">
        <v>0.10579012353706159</v>
      </c>
      <c r="O40" s="186">
        <v>0.10147659679446459</v>
      </c>
      <c r="P40" s="186">
        <v>0.10392435692118847</v>
      </c>
      <c r="Q40" s="186">
        <v>0.10336497661089167</v>
      </c>
      <c r="R40" s="186">
        <v>0.10422087040791619</v>
      </c>
      <c r="S40" s="186">
        <v>0.10275037118553207</v>
      </c>
      <c r="T40" s="186">
        <v>0.12242754710248958</v>
      </c>
      <c r="U40" s="186">
        <v>0.12291750693226877</v>
      </c>
      <c r="V40" s="186">
        <v>0.12883857567892343</v>
      </c>
      <c r="W40" s="186">
        <v>0.12584142620414079</v>
      </c>
      <c r="X40" s="186">
        <v>0.12736480461849392</v>
      </c>
      <c r="Y40" s="186">
        <v>0.12879002025713659</v>
      </c>
      <c r="Z40" s="186">
        <v>0.13012566100883802</v>
      </c>
      <c r="AA40" s="186">
        <v>0.1288515091251704</v>
      </c>
      <c r="AB40" s="186">
        <v>0.13407632939990374</v>
      </c>
      <c r="AC40" s="186">
        <v>0.13062737182143497</v>
      </c>
      <c r="AD40" s="186">
        <v>0.13080655038229377</v>
      </c>
      <c r="AE40" s="186">
        <v>0.1281588372294184</v>
      </c>
      <c r="AF40" s="186">
        <v>0.13083613535847147</v>
      </c>
      <c r="AG40" s="186">
        <v>0.13187224376661691</v>
      </c>
      <c r="AH40" s="190">
        <v>0.13016042832933691</v>
      </c>
      <c r="AI40" s="190">
        <v>0.1286030657241671</v>
      </c>
      <c r="AJ40" s="190">
        <v>0.13182436782894932</v>
      </c>
      <c r="AK40" s="190">
        <v>0.13296940067819854</v>
      </c>
      <c r="AL40" s="190">
        <v>0.13307150400488116</v>
      </c>
      <c r="AM40" s="190">
        <v>0.1305933080018605</v>
      </c>
      <c r="AN40" s="190">
        <v>0.13512376159513653</v>
      </c>
      <c r="AO40" s="190">
        <v>0.1442758009021107</v>
      </c>
      <c r="AP40" s="190">
        <v>0.1369415040797623</v>
      </c>
      <c r="AQ40" s="190">
        <v>0.13465902463834281</v>
      </c>
      <c r="AR40" s="190">
        <v>0.13780522122387617</v>
      </c>
      <c r="AS40" s="190">
        <v>0.1402123171327205</v>
      </c>
      <c r="AT40" s="190">
        <v>0.13808551287602838</v>
      </c>
      <c r="AU40" s="190">
        <v>0.13917290683996647</v>
      </c>
      <c r="AV40" s="190">
        <v>0.13889063059434842</v>
      </c>
      <c r="AW40" s="190">
        <v>0.14220643614417786</v>
      </c>
      <c r="AX40" s="190"/>
      <c r="AY40" s="190"/>
    </row>
    <row r="41" spans="1:58" x14ac:dyDescent="0.4">
      <c r="A41" s="185" t="s">
        <v>123</v>
      </c>
      <c r="B41" s="186">
        <f t="shared" si="7"/>
        <v>4.6108515431006136E-2</v>
      </c>
      <c r="C41" s="186">
        <f t="shared" si="8"/>
        <v>2.2596351297129225E-2</v>
      </c>
      <c r="D41" s="186">
        <v>0.20026715011471288</v>
      </c>
      <c r="E41" s="186">
        <v>0.19144012992973394</v>
      </c>
      <c r="F41" s="186">
        <v>0.19787725969617395</v>
      </c>
      <c r="G41" s="186">
        <v>0.19621380315388851</v>
      </c>
      <c r="H41" s="186">
        <v>0.19584183911929737</v>
      </c>
      <c r="I41" s="186">
        <v>0.19595310026522156</v>
      </c>
      <c r="J41" s="186">
        <v>0.20240373338823936</v>
      </c>
      <c r="K41" s="186">
        <v>0.20470292224602069</v>
      </c>
      <c r="L41" s="186">
        <v>0.1999893498500068</v>
      </c>
      <c r="M41" s="186">
        <v>0.17903183547180296</v>
      </c>
      <c r="N41" s="186">
        <v>0.18320474228317699</v>
      </c>
      <c r="O41" s="186">
        <v>0.18258114294122529</v>
      </c>
      <c r="P41" s="186">
        <v>0.18240410846474167</v>
      </c>
      <c r="Q41" s="186">
        <v>0.16904788001464935</v>
      </c>
      <c r="R41" s="186">
        <v>0.17681914892021897</v>
      </c>
      <c r="S41" s="186">
        <v>0.17704861638014524</v>
      </c>
      <c r="T41" s="186">
        <v>0.16085607717222872</v>
      </c>
      <c r="U41" s="186">
        <v>0.15754903065950565</v>
      </c>
      <c r="V41" s="186">
        <v>0.16140365271730833</v>
      </c>
      <c r="W41" s="186">
        <v>0.16446938698842903</v>
      </c>
      <c r="X41" s="186">
        <v>0.16561194202285068</v>
      </c>
      <c r="Y41" s="186">
        <v>0.16119947336806018</v>
      </c>
      <c r="Z41" s="186">
        <v>0.16256520631176682</v>
      </c>
      <c r="AA41" s="186">
        <v>0.16473210758775012</v>
      </c>
      <c r="AB41" s="186">
        <v>0.16629413019671646</v>
      </c>
      <c r="AC41" s="186">
        <v>0.15677618967554452</v>
      </c>
      <c r="AD41" s="186">
        <v>0.1527246732982333</v>
      </c>
      <c r="AE41" s="186">
        <v>0.15102280762729611</v>
      </c>
      <c r="AF41" s="186">
        <v>0.14752488807623571</v>
      </c>
      <c r="AG41" s="186">
        <v>0.13537623478115543</v>
      </c>
      <c r="AH41" s="190">
        <v>0.13244752428054773</v>
      </c>
      <c r="AI41" s="190">
        <v>0.1326652284394442</v>
      </c>
      <c r="AJ41" s="190">
        <v>0.12771521331915625</v>
      </c>
      <c r="AK41" s="190">
        <v>0.12443515277011502</v>
      </c>
      <c r="AL41" s="190">
        <v>0.12416150006242449</v>
      </c>
      <c r="AM41" s="190">
        <v>0.12336250247147476</v>
      </c>
      <c r="AN41" s="190">
        <v>0.12369220317205321</v>
      </c>
      <c r="AO41" s="190">
        <v>0.11706540755105746</v>
      </c>
      <c r="AP41" s="190">
        <v>0.12023612682796632</v>
      </c>
      <c r="AQ41" s="190">
        <v>0.12222167374636009</v>
      </c>
      <c r="AR41" s="190">
        <v>0.12222964862710667</v>
      </c>
      <c r="AS41" s="190">
        <v>0.12057736576449052</v>
      </c>
      <c r="AT41" s="190">
        <v>0.12056624178541192</v>
      </c>
      <c r="AU41" s="190">
        <v>0.12152689121974707</v>
      </c>
      <c r="AV41" s="190">
        <v>0.1245762398706845</v>
      </c>
      <c r="AW41" s="190">
        <v>0.12200013759655715</v>
      </c>
      <c r="AX41" s="190"/>
      <c r="AY41" s="190"/>
    </row>
    <row r="42" spans="1:58" x14ac:dyDescent="0.4">
      <c r="A42" s="185" t="s">
        <v>124</v>
      </c>
      <c r="B42" s="186">
        <f t="shared" si="7"/>
        <v>-7.3604353384598586E-2</v>
      </c>
      <c r="C42" s="186">
        <f t="shared" si="8"/>
        <v>-0.13065128742138987</v>
      </c>
      <c r="D42" s="186">
        <v>0.11498088386383722</v>
      </c>
      <c r="E42" s="186">
        <v>0.12411639053348467</v>
      </c>
      <c r="F42" s="186">
        <v>0.12221413660557685</v>
      </c>
      <c r="G42" s="186">
        <v>0.13050720579996408</v>
      </c>
      <c r="H42" s="186">
        <v>0.13226094684466466</v>
      </c>
      <c r="I42" s="186">
        <v>0.13462538959762418</v>
      </c>
      <c r="J42" s="186">
        <v>0.13938655081769577</v>
      </c>
      <c r="K42" s="186">
        <v>0.15282471783179416</v>
      </c>
      <c r="L42" s="186">
        <v>0.11877629749862628</v>
      </c>
      <c r="M42" s="186">
        <v>0.13889793849388166</v>
      </c>
      <c r="N42" s="186">
        <v>0.13969706303751275</v>
      </c>
      <c r="O42" s="186">
        <v>0.14160972436815489</v>
      </c>
      <c r="P42" s="186">
        <v>0.14635892397331698</v>
      </c>
      <c r="Q42" s="186">
        <v>0.12392382785267786</v>
      </c>
      <c r="R42" s="186">
        <v>0.1395248038174744</v>
      </c>
      <c r="S42" s="186">
        <v>0.13873684190491914</v>
      </c>
      <c r="T42" s="186">
        <v>0.13475394359590184</v>
      </c>
      <c r="U42" s="186">
        <v>0.12874971614049766</v>
      </c>
      <c r="V42" s="186">
        <v>0.13773383404599929</v>
      </c>
      <c r="W42" s="186">
        <v>0.1369707959569664</v>
      </c>
      <c r="X42" s="186">
        <v>0.1260482299960155</v>
      </c>
      <c r="Y42" s="186">
        <v>0.1288434011259906</v>
      </c>
      <c r="Z42" s="186">
        <v>0.13729912646084497</v>
      </c>
      <c r="AA42" s="186">
        <v>0.14394795487118886</v>
      </c>
      <c r="AB42" s="186">
        <v>0.14260032775481679</v>
      </c>
      <c r="AC42" s="186">
        <v>0.13533246240378474</v>
      </c>
      <c r="AD42" s="186">
        <v>0.13810462651512725</v>
      </c>
      <c r="AE42" s="186">
        <v>0.13948866816144617</v>
      </c>
      <c r="AF42" s="186">
        <v>0.14218643851813742</v>
      </c>
      <c r="AG42" s="186">
        <v>0.12757127870822724</v>
      </c>
      <c r="AH42" s="190">
        <v>0.13093174140241132</v>
      </c>
      <c r="AI42" s="190">
        <v>0.13143349366380663</v>
      </c>
      <c r="AJ42" s="190">
        <v>0.13317521054982878</v>
      </c>
      <c r="AK42" s="190">
        <v>0.12897051802523576</v>
      </c>
      <c r="AL42" s="190">
        <v>0.13021989712900106</v>
      </c>
      <c r="AM42" s="190">
        <v>0.13565249677758329</v>
      </c>
      <c r="AN42" s="190">
        <v>0.13905789767778234</v>
      </c>
      <c r="AO42" s="190">
        <v>0.14141933727605924</v>
      </c>
      <c r="AP42" s="190">
        <v>0.1359301139297808</v>
      </c>
      <c r="AQ42" s="190">
        <v>0.13082379679156525</v>
      </c>
      <c r="AR42" s="190">
        <v>0.13112598213013321</v>
      </c>
      <c r="AS42" s="190">
        <v>0.12390867797592958</v>
      </c>
      <c r="AT42" s="190">
        <v>0.13022567338942884</v>
      </c>
      <c r="AU42" s="190">
        <v>0.13609038004700508</v>
      </c>
      <c r="AV42" s="190">
        <v>0.13638780797416744</v>
      </c>
      <c r="AW42" s="190">
        <v>0.14018241971484496</v>
      </c>
      <c r="AX42" s="190"/>
      <c r="AY42" s="190"/>
    </row>
    <row r="43" spans="1:58" x14ac:dyDescent="0.4">
      <c r="A43" s="185" t="s">
        <v>125</v>
      </c>
      <c r="B43" s="186">
        <f t="shared" si="7"/>
        <v>-9.6411714710213925E-3</v>
      </c>
      <c r="C43" s="186">
        <f t="shared" si="8"/>
        <v>-1.245813325225853E-2</v>
      </c>
      <c r="D43" s="186">
        <v>0.11787097734608101</v>
      </c>
      <c r="E43" s="186">
        <v>0.11901845467582664</v>
      </c>
      <c r="F43" s="186">
        <v>0.11458339147575342</v>
      </c>
      <c r="G43" s="186">
        <v>0.11492224985340765</v>
      </c>
      <c r="H43" s="186">
        <v>0.11935795464982557</v>
      </c>
      <c r="I43" s="186">
        <v>0.12478016963800652</v>
      </c>
      <c r="J43" s="186">
        <v>0.11162193500799021</v>
      </c>
      <c r="K43" s="186">
        <v>0.11710737001726654</v>
      </c>
      <c r="L43" s="186">
        <v>0.10922776713423421</v>
      </c>
      <c r="M43" s="186">
        <v>0.11310770221728944</v>
      </c>
      <c r="N43" s="186">
        <v>0.10323314548109545</v>
      </c>
      <c r="O43" s="186">
        <v>9.9152447305219521E-2</v>
      </c>
      <c r="P43" s="186">
        <v>0.10025768931356133</v>
      </c>
      <c r="Q43" s="186">
        <v>0.11024462545852244</v>
      </c>
      <c r="R43" s="186">
        <v>0.10299459356602826</v>
      </c>
      <c r="S43" s="186">
        <v>0.11675487834871463</v>
      </c>
      <c r="T43" s="186">
        <v>0.11989907048197845</v>
      </c>
      <c r="U43" s="186">
        <v>0.12851209618435006</v>
      </c>
      <c r="V43" s="186">
        <v>0.11467473538289735</v>
      </c>
      <c r="W43" s="186">
        <v>0.11150820474677876</v>
      </c>
      <c r="X43" s="186">
        <v>0.11132364762733624</v>
      </c>
      <c r="Y43" s="186">
        <v>0.12233788678936798</v>
      </c>
      <c r="Z43" s="186">
        <v>0.10871798581184235</v>
      </c>
      <c r="AA43" s="186">
        <v>0.10850758484368005</v>
      </c>
      <c r="AB43" s="186">
        <v>0.11248982399927161</v>
      </c>
      <c r="AC43" s="186">
        <v>0.12170025805147848</v>
      </c>
      <c r="AD43" s="186">
        <v>0.11006900207297861</v>
      </c>
      <c r="AE43" s="186">
        <v>0.10856175867746823</v>
      </c>
      <c r="AF43" s="186">
        <v>0.11376017122915984</v>
      </c>
      <c r="AG43" s="186">
        <v>0.12255621465358327</v>
      </c>
      <c r="AH43" s="190">
        <v>0.10929316494555597</v>
      </c>
      <c r="AI43" s="190">
        <v>0.10683092106731937</v>
      </c>
      <c r="AJ43" s="190">
        <v>0.10496935273810323</v>
      </c>
      <c r="AK43" s="190">
        <v>0.11109265755071164</v>
      </c>
      <c r="AL43" s="190">
        <v>0.10135802998093128</v>
      </c>
      <c r="AM43" s="190">
        <v>0.10644006076775095</v>
      </c>
      <c r="AN43" s="190">
        <v>0.11106066422931031</v>
      </c>
      <c r="AO43" s="190">
        <v>0.11229884740889522</v>
      </c>
      <c r="AP43" s="190">
        <v>0.10718694712358073</v>
      </c>
      <c r="AQ43" s="190">
        <v>0.10718313795122013</v>
      </c>
      <c r="AR43" s="190">
        <v>0.1078763083638003</v>
      </c>
      <c r="AS43" s="190">
        <v>0.11224383750523038</v>
      </c>
      <c r="AT43" s="190">
        <v>0.10252121057457943</v>
      </c>
      <c r="AU43" s="190">
        <v>0.10044563651524042</v>
      </c>
      <c r="AV43" s="190">
        <v>0.10097545389627545</v>
      </c>
      <c r="AW43" s="190">
        <v>0.1048854711190837</v>
      </c>
      <c r="AX43" s="190"/>
      <c r="AY43" s="190"/>
    </row>
    <row r="44" spans="1:58" x14ac:dyDescent="0.4">
      <c r="A44" s="185" t="s">
        <v>397</v>
      </c>
      <c r="B44" s="186">
        <f t="shared" si="7"/>
        <v>-4.6790815803860575E-2</v>
      </c>
      <c r="C44" s="186">
        <f t="shared" si="8"/>
        <v>-5.2822109650638605E-2</v>
      </c>
      <c r="D44" s="186">
        <v>7.6145879785333312E-2</v>
      </c>
      <c r="E44" s="186">
        <v>7.9883703438661968E-2</v>
      </c>
      <c r="F44" s="186">
        <v>7.8552888429631637E-2</v>
      </c>
      <c r="G44" s="186">
        <v>8.0377856774918766E-2</v>
      </c>
      <c r="H44" s="186">
        <v>8.0392374612172718E-2</v>
      </c>
      <c r="I44" s="186">
        <v>8.2975820018032595E-2</v>
      </c>
      <c r="J44" s="186">
        <v>7.8652752498990314E-2</v>
      </c>
      <c r="K44" s="186">
        <v>7.8728485998326769E-2</v>
      </c>
      <c r="L44" s="186">
        <v>8.0122503513801319E-2</v>
      </c>
      <c r="M44" s="186">
        <v>7.9833692761502151E-2</v>
      </c>
      <c r="N44" s="186">
        <v>7.545751765739829E-2</v>
      </c>
      <c r="O44" s="186">
        <v>7.4345377581253161E-2</v>
      </c>
      <c r="P44" s="186">
        <v>7.3629278025299894E-2</v>
      </c>
      <c r="Q44" s="186">
        <v>7.7096184921899916E-2</v>
      </c>
      <c r="R44" s="186">
        <v>7.0366048680588142E-2</v>
      </c>
      <c r="S44" s="186">
        <v>2.6997368026239133E-2</v>
      </c>
      <c r="T44" s="186">
        <v>2.756121262818205E-2</v>
      </c>
      <c r="U44" s="186">
        <v>2.8659693841380139E-2</v>
      </c>
      <c r="V44" s="186">
        <v>2.9255509266266688E-2</v>
      </c>
      <c r="W44" s="186">
        <v>2.9529500530045823E-2</v>
      </c>
      <c r="X44" s="186">
        <v>2.9601212770538631E-2</v>
      </c>
      <c r="Y44" s="186">
        <v>3.1840853603214321E-2</v>
      </c>
      <c r="Z44" s="186">
        <v>3.196761815925183E-2</v>
      </c>
      <c r="AA44" s="186">
        <v>3.2318106965250996E-2</v>
      </c>
      <c r="AB44" s="186">
        <v>3.3535716809298191E-2</v>
      </c>
      <c r="AC44" s="186">
        <v>3.3174678438464E-2</v>
      </c>
      <c r="AD44" s="186">
        <v>3.1962584198654075E-2</v>
      </c>
      <c r="AE44" s="186">
        <v>2.927515737635894E-2</v>
      </c>
      <c r="AF44" s="186">
        <v>3.0398259665474069E-2</v>
      </c>
      <c r="AG44" s="186">
        <v>2.8951556791360439E-2</v>
      </c>
      <c r="AH44" s="190">
        <v>2.7523767947745779E-2</v>
      </c>
      <c r="AI44" s="190">
        <v>2.7434871395382279E-2</v>
      </c>
      <c r="AJ44" s="190">
        <v>2.8213399958758885E-2</v>
      </c>
      <c r="AK44" s="190">
        <v>2.7966068379340805E-2</v>
      </c>
      <c r="AL44" s="190">
        <v>2.8336713098118031E-2</v>
      </c>
      <c r="AM44" s="190">
        <v>3.1870229051498986E-2</v>
      </c>
      <c r="AN44" s="190">
        <v>3.2604920548892212E-2</v>
      </c>
      <c r="AO44" s="190">
        <v>3.1387817354631233E-2</v>
      </c>
      <c r="AP44" s="190">
        <v>3.2565768879540394E-2</v>
      </c>
      <c r="AQ44" s="190">
        <v>3.2192093235758903E-2</v>
      </c>
      <c r="AR44" s="190">
        <v>3.2174585165092119E-2</v>
      </c>
      <c r="AS44" s="190">
        <v>3.1789672447176363E-2</v>
      </c>
      <c r="AT44" s="190">
        <v>3.1475920543773343E-2</v>
      </c>
      <c r="AU44" s="190">
        <v>3.1538728043227805E-2</v>
      </c>
      <c r="AV44" s="190">
        <v>3.2810844133557622E-2</v>
      </c>
      <c r="AW44" s="190">
        <v>3.2370247939466842E-2</v>
      </c>
      <c r="AX44" s="190"/>
      <c r="AY44" s="190"/>
    </row>
    <row r="45" spans="1:58" x14ac:dyDescent="0.4">
      <c r="A45" s="185" t="s">
        <v>126</v>
      </c>
      <c r="B45" s="186">
        <f t="shared" si="7"/>
        <v>0.13205001775098957</v>
      </c>
      <c r="C45" s="186">
        <f t="shared" si="8"/>
        <v>-4.03546848653491E-3</v>
      </c>
      <c r="D45" s="186">
        <v>2.8359983737000397E-2</v>
      </c>
      <c r="E45" s="186">
        <v>2.5051882242219596E-2</v>
      </c>
      <c r="F45" s="186">
        <v>2.6542509207020192E-2</v>
      </c>
      <c r="G45" s="186">
        <v>2.3386446815024959E-2</v>
      </c>
      <c r="H45" s="186">
        <v>2.8474893271454797E-2</v>
      </c>
      <c r="I45" s="186">
        <v>2.4240970041678189E-2</v>
      </c>
      <c r="J45" s="186">
        <v>2.8278184301915629E-2</v>
      </c>
      <c r="K45" s="186">
        <v>2.6211748073878126E-2</v>
      </c>
      <c r="L45" s="186">
        <v>2.8241626850957931E-2</v>
      </c>
      <c r="M45" s="186">
        <v>2.5255607305733525E-2</v>
      </c>
      <c r="N45" s="186">
        <v>2.8457583625134907E-2</v>
      </c>
      <c r="O45" s="186">
        <v>2.4952419968280244E-2</v>
      </c>
      <c r="P45" s="186">
        <v>2.9330261630982825E-2</v>
      </c>
      <c r="Q45" s="186">
        <v>2.8139655972944176E-2</v>
      </c>
      <c r="R45" s="186">
        <v>3.0835604237827347E-2</v>
      </c>
      <c r="S45" s="186">
        <v>2.7215681190380561E-2</v>
      </c>
      <c r="T45" s="186">
        <v>3.1333714556391966E-2</v>
      </c>
      <c r="U45" s="186">
        <v>2.8431056971091859E-2</v>
      </c>
      <c r="V45" s="186">
        <v>3.2539255309648248E-2</v>
      </c>
      <c r="W45" s="186">
        <v>2.9602201564125144E-2</v>
      </c>
      <c r="X45" s="186">
        <v>3.0107436739800007E-2</v>
      </c>
      <c r="Y45" s="186">
        <v>2.9649889346306267E-2</v>
      </c>
      <c r="Z45" s="186">
        <v>3.5103391615263969E-2</v>
      </c>
      <c r="AA45" s="186">
        <v>2.9186918578434612E-2</v>
      </c>
      <c r="AB45" s="186">
        <v>3.2849892936788423E-2</v>
      </c>
      <c r="AC45" s="186">
        <v>2.88547225613449E-2</v>
      </c>
      <c r="AD45" s="186">
        <v>3.4313016405974291E-2</v>
      </c>
      <c r="AE45" s="186">
        <v>3.026225283010953E-2</v>
      </c>
      <c r="AF45" s="186">
        <v>3.7038532577250149E-2</v>
      </c>
      <c r="AG45" s="186">
        <v>3.216755357776304E-2</v>
      </c>
      <c r="AH45" s="190">
        <v>3.4021553527586033E-2</v>
      </c>
      <c r="AI45" s="190">
        <v>3.0486487107982348E-2</v>
      </c>
      <c r="AJ45" s="190">
        <v>3.7400791375979271E-2</v>
      </c>
      <c r="AK45" s="190">
        <v>3.1993652711909341E-2</v>
      </c>
      <c r="AL45" s="190">
        <v>3.5288628113013115E-2</v>
      </c>
      <c r="AM45" s="190">
        <v>3.2203004778282612E-2</v>
      </c>
      <c r="AN45" s="190">
        <v>3.4252764226075684E-2</v>
      </c>
      <c r="AO45" s="190">
        <v>3.0906898097498751E-2</v>
      </c>
      <c r="AP45" s="190">
        <v>3.52589601533599E-2</v>
      </c>
      <c r="AQ45" s="190">
        <v>3.0836073362818621E-2</v>
      </c>
      <c r="AR45" s="190">
        <v>3.2987423288072283E-2</v>
      </c>
      <c r="AS45" s="190">
        <v>3.2892693458017978E-2</v>
      </c>
      <c r="AT45" s="190">
        <v>3.7779434871194083E-2</v>
      </c>
      <c r="AU45" s="190">
        <v>3.3754796557243671E-2</v>
      </c>
      <c r="AV45" s="190">
        <v>3.8038419670159918E-2</v>
      </c>
      <c r="AW45" s="190">
        <v>3.5106393504464137E-2</v>
      </c>
      <c r="AX45" s="190"/>
      <c r="AY45" s="190"/>
    </row>
    <row r="46" spans="1:58" x14ac:dyDescent="0.4">
      <c r="A46" s="185" t="s">
        <v>314</v>
      </c>
      <c r="B46" s="186">
        <f t="shared" si="7"/>
        <v>2.8253107236416275E-2</v>
      </c>
      <c r="C46" s="186">
        <f t="shared" si="8"/>
        <v>6.1685749996419625E-2</v>
      </c>
      <c r="D46" s="186">
        <v>9.620644795469523E-3</v>
      </c>
      <c r="E46" s="186">
        <v>9.3563002414127801E-3</v>
      </c>
      <c r="F46" s="186">
        <v>9.2367690281129032E-3</v>
      </c>
      <c r="G46" s="186">
        <v>9.5100766969001618E-3</v>
      </c>
      <c r="H46" s="186">
        <v>9.0616689500654657E-3</v>
      </c>
      <c r="I46" s="186">
        <v>9.2120704883037821E-3</v>
      </c>
      <c r="J46" s="186">
        <v>9.3405370273763767E-3</v>
      </c>
      <c r="K46" s="186">
        <v>9.9196078468797508E-3</v>
      </c>
      <c r="L46" s="186">
        <v>1.011018131398444E-2</v>
      </c>
      <c r="M46" s="186">
        <v>9.7013151406942916E-3</v>
      </c>
      <c r="N46" s="186">
        <v>9.6308411844061685E-3</v>
      </c>
      <c r="O46" s="186">
        <v>9.5443468835807958E-3</v>
      </c>
      <c r="P46" s="186">
        <v>9.518761361477621E-3</v>
      </c>
      <c r="Q46" s="186">
        <v>9.5267751629102802E-3</v>
      </c>
      <c r="R46" s="186">
        <v>9.3747061064465183E-3</v>
      </c>
      <c r="S46" s="186">
        <v>9.4117152709260535E-3</v>
      </c>
      <c r="T46" s="186">
        <v>9.4477067053292518E-3</v>
      </c>
      <c r="U46" s="186">
        <v>8.973420619349139E-3</v>
      </c>
      <c r="V46" s="186">
        <v>9.1179556106464801E-3</v>
      </c>
      <c r="W46" s="186">
        <v>8.9520589117301781E-3</v>
      </c>
      <c r="X46" s="186">
        <v>8.7791182096615822E-3</v>
      </c>
      <c r="Y46" s="186">
        <v>8.2415016202009566E-3</v>
      </c>
      <c r="Z46" s="186">
        <v>8.5175979196467303E-3</v>
      </c>
      <c r="AA46" s="186"/>
      <c r="AB46" s="186"/>
      <c r="AC46" s="186"/>
      <c r="AD46" s="186"/>
      <c r="AE46" s="186"/>
      <c r="AF46" s="186"/>
      <c r="AG46" s="186"/>
      <c r="AH46" s="190"/>
      <c r="AI46" s="190"/>
      <c r="AJ46" s="190"/>
      <c r="AK46" s="190"/>
      <c r="AL46" s="190"/>
      <c r="AM46" s="190"/>
      <c r="AN46" s="190"/>
      <c r="AO46" s="190"/>
      <c r="AP46" s="190"/>
      <c r="AQ46" s="190"/>
      <c r="AR46" s="190"/>
      <c r="AS46" s="190"/>
      <c r="AT46" s="190"/>
      <c r="AU46" s="190"/>
      <c r="AV46" s="190"/>
      <c r="AW46" s="190"/>
      <c r="AX46" s="190"/>
      <c r="AY46" s="190"/>
    </row>
    <row r="47" spans="1:58" s="179" customFormat="1" x14ac:dyDescent="0.4">
      <c r="A47" s="191" t="s">
        <v>24</v>
      </c>
      <c r="B47" s="192">
        <f t="shared" si="7"/>
        <v>0</v>
      </c>
      <c r="C47" s="192">
        <f t="shared" si="8"/>
        <v>0</v>
      </c>
      <c r="D47" s="192">
        <v>1</v>
      </c>
      <c r="E47" s="192">
        <v>1</v>
      </c>
      <c r="F47" s="192">
        <v>1</v>
      </c>
      <c r="G47" s="192">
        <v>1</v>
      </c>
      <c r="H47" s="192">
        <v>1</v>
      </c>
      <c r="I47" s="192">
        <v>1</v>
      </c>
      <c r="J47" s="192">
        <v>1</v>
      </c>
      <c r="K47" s="192">
        <v>1</v>
      </c>
      <c r="L47" s="192">
        <v>1</v>
      </c>
      <c r="M47" s="192">
        <v>1</v>
      </c>
      <c r="N47" s="192">
        <v>1</v>
      </c>
      <c r="O47" s="192">
        <v>1</v>
      </c>
      <c r="P47" s="192">
        <v>1</v>
      </c>
      <c r="Q47" s="192">
        <v>1</v>
      </c>
      <c r="R47" s="192">
        <v>1</v>
      </c>
      <c r="S47" s="192">
        <v>1</v>
      </c>
      <c r="T47" s="192">
        <v>1</v>
      </c>
      <c r="U47" s="192">
        <v>1</v>
      </c>
      <c r="V47" s="192">
        <v>1</v>
      </c>
      <c r="W47" s="192">
        <v>1</v>
      </c>
      <c r="X47" s="192">
        <v>1</v>
      </c>
      <c r="Y47" s="192">
        <v>1</v>
      </c>
      <c r="Z47" s="192">
        <v>1</v>
      </c>
      <c r="AA47" s="192">
        <v>1</v>
      </c>
      <c r="AB47" s="192">
        <v>1</v>
      </c>
      <c r="AC47" s="192">
        <v>1</v>
      </c>
      <c r="AD47" s="192">
        <v>1</v>
      </c>
      <c r="AE47" s="192">
        <v>1</v>
      </c>
      <c r="AF47" s="192">
        <v>1</v>
      </c>
      <c r="AG47" s="192">
        <v>1</v>
      </c>
      <c r="AH47" s="196">
        <v>1</v>
      </c>
      <c r="AI47" s="196">
        <v>1</v>
      </c>
      <c r="AJ47" s="196">
        <v>1</v>
      </c>
      <c r="AK47" s="196">
        <v>1</v>
      </c>
      <c r="AL47" s="196">
        <v>1</v>
      </c>
      <c r="AM47" s="196">
        <v>1</v>
      </c>
      <c r="AN47" s="196">
        <v>1</v>
      </c>
      <c r="AO47" s="196">
        <v>1</v>
      </c>
      <c r="AP47" s="196">
        <v>1</v>
      </c>
      <c r="AQ47" s="196">
        <f>SUM(AQ36:AQ45)</f>
        <v>1.0000000000000002</v>
      </c>
      <c r="AR47" s="196">
        <v>1</v>
      </c>
      <c r="AS47" s="196">
        <v>1</v>
      </c>
      <c r="AT47" s="196">
        <v>1</v>
      </c>
      <c r="AU47" s="196">
        <v>1</v>
      </c>
      <c r="AV47" s="196">
        <v>1</v>
      </c>
      <c r="AW47" s="196">
        <v>1</v>
      </c>
      <c r="AX47" s="196"/>
      <c r="AY47" s="196"/>
    </row>
    <row r="48" spans="1:58" x14ac:dyDescent="0.4">
      <c r="A48" s="191" t="str">
        <f>A18</f>
        <v xml:space="preserve">   *Proforma Q2,'16 &amp; prior, RE in Financials; back data for FYI only</v>
      </c>
      <c r="B48" s="187"/>
      <c r="C48" s="187"/>
      <c r="D48" s="187"/>
      <c r="E48" s="187"/>
      <c r="F48" s="187"/>
      <c r="G48" s="187"/>
      <c r="H48" s="187"/>
      <c r="I48" s="187"/>
      <c r="J48" s="187"/>
      <c r="K48" s="187"/>
      <c r="L48" s="187"/>
      <c r="M48" s="187"/>
      <c r="N48" s="187"/>
      <c r="O48" s="187"/>
      <c r="P48" s="187"/>
      <c r="Q48" s="187"/>
      <c r="R48" s="187"/>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87"/>
      <c r="AQ48" s="187"/>
      <c r="AR48" s="187"/>
      <c r="AS48" s="187"/>
      <c r="AT48" s="187"/>
    </row>
    <row r="49" spans="1:46" x14ac:dyDescent="0.4">
      <c r="A49" s="199"/>
      <c r="B49" s="187"/>
      <c r="C49" s="187"/>
      <c r="D49" s="187"/>
      <c r="E49" s="187"/>
      <c r="F49" s="187"/>
      <c r="G49" s="187"/>
      <c r="H49" s="187"/>
      <c r="I49" s="187"/>
      <c r="J49" s="187"/>
      <c r="K49" s="187"/>
      <c r="L49" s="187"/>
      <c r="M49" s="187"/>
      <c r="N49" s="187"/>
      <c r="O49" s="187"/>
      <c r="P49" s="187"/>
      <c r="Q49" s="187"/>
      <c r="R49" s="187"/>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87"/>
      <c r="AQ49" s="187"/>
      <c r="AR49" s="187"/>
      <c r="AS49" s="187"/>
      <c r="AT49" s="187"/>
    </row>
    <row r="50" spans="1:46" ht="12.75" customHeight="1" x14ac:dyDescent="0.4">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1"/>
      <c r="AH50" s="181"/>
      <c r="AI50" s="181"/>
      <c r="AJ50" s="181"/>
      <c r="AK50" s="181"/>
      <c r="AL50" s="181"/>
      <c r="AM50" s="181"/>
      <c r="AN50" s="181"/>
      <c r="AO50" s="181"/>
      <c r="AP50" s="181"/>
      <c r="AQ50" s="181"/>
      <c r="AR50" s="181"/>
      <c r="AS50" s="181"/>
      <c r="AT50" s="181"/>
    </row>
    <row r="51" spans="1:46" x14ac:dyDescent="0.4">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1"/>
      <c r="AH51" s="181"/>
      <c r="AI51" s="181"/>
      <c r="AJ51" s="181"/>
      <c r="AK51" s="181"/>
      <c r="AL51" s="181"/>
      <c r="AM51" s="181"/>
      <c r="AN51" s="181"/>
      <c r="AO51" s="181"/>
      <c r="AP51" s="181"/>
      <c r="AQ51" s="181"/>
      <c r="AR51" s="181"/>
      <c r="AS51" s="181"/>
      <c r="AT51" s="181"/>
    </row>
    <row r="52" spans="1:46" x14ac:dyDescent="0.4">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181"/>
      <c r="AH52" s="181"/>
      <c r="AI52" s="181"/>
      <c r="AJ52" s="181"/>
      <c r="AK52" s="181"/>
      <c r="AL52" s="181"/>
      <c r="AM52" s="181"/>
      <c r="AN52" s="181"/>
      <c r="AO52" s="181"/>
      <c r="AP52" s="181"/>
      <c r="AQ52" s="181"/>
      <c r="AR52" s="181"/>
      <c r="AS52" s="181"/>
      <c r="AT52" s="181"/>
    </row>
    <row r="53" spans="1:46" x14ac:dyDescent="0.4">
      <c r="A53" s="189"/>
      <c r="B53" s="187"/>
      <c r="C53" s="187"/>
      <c r="D53" s="187"/>
      <c r="E53" s="187"/>
      <c r="F53" s="187"/>
      <c r="G53" s="187"/>
      <c r="H53" s="187"/>
      <c r="I53" s="187"/>
      <c r="J53" s="187"/>
      <c r="K53" s="187"/>
      <c r="L53" s="187"/>
      <c r="M53" s="187"/>
      <c r="N53" s="187"/>
      <c r="O53" s="187"/>
      <c r="P53" s="187"/>
      <c r="Q53" s="187"/>
      <c r="R53" s="187"/>
      <c r="S53" s="189"/>
      <c r="T53" s="189"/>
      <c r="U53" s="189"/>
      <c r="V53" s="189"/>
      <c r="W53" s="189"/>
      <c r="X53" s="189"/>
      <c r="Y53" s="189"/>
      <c r="Z53" s="189"/>
      <c r="AA53" s="189"/>
      <c r="AB53" s="189"/>
      <c r="AC53" s="189"/>
      <c r="AD53" s="189"/>
      <c r="AE53" s="189"/>
      <c r="AF53" s="189"/>
      <c r="AG53" s="181"/>
      <c r="AH53" s="181"/>
      <c r="AI53" s="181"/>
      <c r="AJ53" s="181"/>
      <c r="AK53" s="181"/>
      <c r="AL53" s="181"/>
      <c r="AM53" s="181"/>
      <c r="AN53" s="181"/>
      <c r="AO53" s="181"/>
      <c r="AP53" s="181"/>
      <c r="AQ53" s="181"/>
      <c r="AR53" s="181"/>
      <c r="AS53" s="181"/>
      <c r="AT53" s="181"/>
    </row>
    <row r="54" spans="1:46" x14ac:dyDescent="0.4">
      <c r="AG54" s="181"/>
      <c r="AH54" s="181"/>
      <c r="AI54" s="181"/>
      <c r="AJ54" s="181"/>
      <c r="AK54" s="181"/>
      <c r="AL54" s="181"/>
      <c r="AM54" s="181"/>
      <c r="AN54" s="181"/>
      <c r="AO54" s="181"/>
      <c r="AP54" s="181"/>
      <c r="AQ54" s="181"/>
      <c r="AR54" s="181"/>
      <c r="AS54" s="181"/>
      <c r="AT54" s="181"/>
    </row>
    <row r="55" spans="1:46" x14ac:dyDescent="0.4">
      <c r="AG55" s="181"/>
      <c r="AH55" s="181"/>
      <c r="AI55" s="181"/>
      <c r="AJ55" s="181"/>
      <c r="AK55" s="181"/>
      <c r="AL55" s="181"/>
      <c r="AM55" s="181"/>
      <c r="AN55" s="181"/>
      <c r="AO55" s="181"/>
      <c r="AP55" s="181"/>
      <c r="AQ55" s="181"/>
      <c r="AR55" s="181"/>
      <c r="AS55" s="181"/>
      <c r="AT55" s="181"/>
    </row>
    <row r="56" spans="1:46" x14ac:dyDescent="0.4">
      <c r="AG56" s="181"/>
      <c r="AH56" s="181"/>
      <c r="AI56" s="181"/>
      <c r="AJ56" s="181"/>
      <c r="AK56" s="181"/>
      <c r="AL56" s="181"/>
      <c r="AM56" s="181"/>
      <c r="AN56" s="181"/>
      <c r="AO56" s="181"/>
      <c r="AP56" s="181"/>
      <c r="AQ56" s="181"/>
      <c r="AR56" s="181"/>
      <c r="AS56" s="181"/>
      <c r="AT56" s="181"/>
    </row>
    <row r="57" spans="1:46" x14ac:dyDescent="0.4">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1"/>
      <c r="AH57" s="181"/>
      <c r="AI57" s="181"/>
      <c r="AJ57" s="181"/>
      <c r="AK57" s="181"/>
      <c r="AL57" s="181"/>
      <c r="AM57" s="181"/>
      <c r="AN57" s="181"/>
      <c r="AO57" s="181"/>
      <c r="AP57" s="181"/>
      <c r="AQ57" s="181"/>
      <c r="AR57" s="181"/>
      <c r="AS57" s="181"/>
      <c r="AT57" s="181"/>
    </row>
    <row r="58" spans="1:46" x14ac:dyDescent="0.4">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1"/>
      <c r="AH58" s="181"/>
      <c r="AI58" s="181"/>
      <c r="AJ58" s="181"/>
      <c r="AK58" s="181"/>
      <c r="AL58" s="181"/>
      <c r="AM58" s="181"/>
      <c r="AN58" s="181"/>
      <c r="AO58" s="181"/>
      <c r="AP58" s="181"/>
      <c r="AQ58" s="181"/>
      <c r="AR58" s="181"/>
      <c r="AS58" s="181"/>
      <c r="AT58" s="181"/>
    </row>
    <row r="59" spans="1:46" x14ac:dyDescent="0.4">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1"/>
      <c r="AH59" s="181"/>
      <c r="AI59" s="181"/>
      <c r="AJ59" s="181"/>
      <c r="AK59" s="181"/>
      <c r="AL59" s="181"/>
      <c r="AM59" s="181"/>
      <c r="AN59" s="181"/>
      <c r="AO59" s="181"/>
      <c r="AP59" s="181"/>
      <c r="AQ59" s="181"/>
      <c r="AR59" s="181"/>
      <c r="AS59" s="181"/>
      <c r="AT59" s="181"/>
    </row>
    <row r="60" spans="1:46" x14ac:dyDescent="0.4">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1"/>
      <c r="AH60" s="181"/>
      <c r="AI60" s="181"/>
      <c r="AJ60" s="181"/>
      <c r="AK60" s="181"/>
      <c r="AL60" s="181"/>
      <c r="AM60" s="181"/>
      <c r="AN60" s="181"/>
      <c r="AO60" s="181"/>
      <c r="AP60" s="181"/>
      <c r="AQ60" s="181"/>
      <c r="AR60" s="181"/>
      <c r="AS60" s="181"/>
      <c r="AT60" s="181"/>
    </row>
    <row r="61" spans="1:46" x14ac:dyDescent="0.4">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1"/>
      <c r="AH61" s="181"/>
      <c r="AI61" s="181"/>
      <c r="AJ61" s="181"/>
      <c r="AK61" s="181"/>
      <c r="AL61" s="181"/>
      <c r="AM61" s="181"/>
      <c r="AN61" s="181"/>
      <c r="AO61" s="181"/>
      <c r="AP61" s="181"/>
      <c r="AQ61" s="181"/>
      <c r="AR61" s="181"/>
      <c r="AS61" s="181"/>
      <c r="AT61" s="181"/>
    </row>
    <row r="62" spans="1:46" x14ac:dyDescent="0.4">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1"/>
      <c r="AH62" s="181"/>
      <c r="AI62" s="181"/>
      <c r="AJ62" s="181"/>
      <c r="AK62" s="181"/>
      <c r="AL62" s="181"/>
      <c r="AM62" s="181"/>
      <c r="AN62" s="181"/>
      <c r="AO62" s="181"/>
      <c r="AP62" s="181"/>
      <c r="AQ62" s="181"/>
      <c r="AR62" s="181"/>
      <c r="AS62" s="181"/>
      <c r="AT62" s="181"/>
    </row>
    <row r="63" spans="1:46" x14ac:dyDescent="0.4">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1"/>
      <c r="AH63" s="181"/>
      <c r="AI63" s="181"/>
      <c r="AJ63" s="181"/>
      <c r="AK63" s="181"/>
      <c r="AL63" s="181"/>
      <c r="AM63" s="181"/>
      <c r="AN63" s="181"/>
      <c r="AO63" s="181"/>
      <c r="AP63" s="181"/>
      <c r="AQ63" s="181"/>
      <c r="AR63" s="181"/>
      <c r="AS63" s="181"/>
      <c r="AT63" s="181"/>
    </row>
    <row r="64" spans="1:46" x14ac:dyDescent="0.4">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1"/>
      <c r="AH64" s="181"/>
      <c r="AI64" s="181"/>
      <c r="AJ64" s="181"/>
      <c r="AK64" s="181"/>
      <c r="AL64" s="181"/>
      <c r="AM64" s="181"/>
      <c r="AN64" s="181"/>
      <c r="AO64" s="181"/>
      <c r="AP64" s="181"/>
      <c r="AQ64" s="181"/>
      <c r="AR64" s="181"/>
      <c r="AS64" s="181"/>
      <c r="AT64" s="181"/>
    </row>
    <row r="65" spans="1:46" x14ac:dyDescent="0.4">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1"/>
      <c r="AH65" s="181"/>
      <c r="AI65" s="181"/>
      <c r="AJ65" s="181"/>
      <c r="AK65" s="181"/>
      <c r="AL65" s="181"/>
      <c r="AM65" s="181"/>
      <c r="AN65" s="181"/>
      <c r="AO65" s="181"/>
      <c r="AP65" s="181"/>
      <c r="AQ65" s="181"/>
      <c r="AR65" s="181"/>
      <c r="AS65" s="181"/>
      <c r="AT65" s="181"/>
    </row>
    <row r="66" spans="1:46" x14ac:dyDescent="0.4">
      <c r="A66" s="186"/>
      <c r="B66" s="186"/>
      <c r="AC66" s="186"/>
      <c r="AD66" s="186"/>
      <c r="AE66" s="186"/>
      <c r="AF66" s="186"/>
      <c r="AG66" s="181"/>
      <c r="AH66" s="181"/>
      <c r="AI66" s="181"/>
      <c r="AJ66" s="181"/>
      <c r="AK66" s="181"/>
      <c r="AL66" s="181"/>
      <c r="AM66" s="181"/>
      <c r="AN66" s="181"/>
      <c r="AO66" s="181"/>
      <c r="AP66" s="181"/>
      <c r="AQ66" s="181"/>
      <c r="AR66" s="181"/>
      <c r="AS66" s="181"/>
      <c r="AT66" s="181"/>
    </row>
    <row r="67" spans="1:46" x14ac:dyDescent="0.4">
      <c r="AG67" s="181"/>
      <c r="AH67" s="181"/>
      <c r="AI67" s="181"/>
      <c r="AJ67" s="181"/>
      <c r="AK67" s="181"/>
      <c r="AL67" s="181"/>
      <c r="AM67" s="181"/>
      <c r="AN67" s="181"/>
      <c r="AO67" s="181"/>
      <c r="AP67" s="181"/>
      <c r="AQ67" s="181"/>
      <c r="AR67" s="181"/>
      <c r="AS67" s="181"/>
      <c r="AT67" s="181"/>
    </row>
    <row r="68" spans="1:46" x14ac:dyDescent="0.4">
      <c r="C68" s="182"/>
      <c r="D68" s="182"/>
      <c r="E68" s="182"/>
      <c r="F68" s="182"/>
      <c r="G68" s="182"/>
      <c r="H68" s="182"/>
      <c r="I68" s="182"/>
      <c r="J68" s="182"/>
      <c r="K68" s="182"/>
      <c r="L68" s="182"/>
      <c r="M68" s="182"/>
      <c r="N68" s="182"/>
      <c r="O68" s="182"/>
      <c r="P68" s="182"/>
      <c r="Q68" s="182"/>
      <c r="R68" s="182"/>
      <c r="S68" s="203"/>
      <c r="T68" s="203"/>
      <c r="U68" s="203"/>
      <c r="V68" s="203"/>
      <c r="W68" s="203"/>
      <c r="X68" s="203"/>
      <c r="Y68" s="203"/>
      <c r="Z68" s="203"/>
      <c r="AA68" s="203"/>
      <c r="AB68" s="203"/>
    </row>
    <row r="69" spans="1:46" x14ac:dyDescent="0.4">
      <c r="A69" s="203"/>
      <c r="B69" s="182"/>
      <c r="C69" s="187"/>
      <c r="D69" s="187"/>
      <c r="E69" s="187"/>
      <c r="F69" s="187"/>
      <c r="G69" s="187"/>
      <c r="H69" s="187"/>
      <c r="I69" s="187"/>
      <c r="J69" s="187"/>
      <c r="K69" s="187"/>
      <c r="L69" s="187"/>
      <c r="M69" s="187"/>
      <c r="N69" s="187"/>
      <c r="O69" s="187"/>
      <c r="P69" s="187"/>
      <c r="Q69" s="187"/>
      <c r="R69" s="187"/>
      <c r="S69" s="199"/>
      <c r="T69" s="199"/>
      <c r="U69" s="199"/>
      <c r="V69" s="199"/>
      <c r="W69" s="199"/>
      <c r="X69" s="199"/>
      <c r="Y69" s="199"/>
      <c r="Z69" s="199"/>
      <c r="AA69" s="199"/>
      <c r="AB69" s="199"/>
      <c r="AC69" s="203"/>
      <c r="AD69" s="203"/>
      <c r="AE69" s="203"/>
      <c r="AF69" s="203"/>
      <c r="AG69" s="203"/>
      <c r="AH69" s="203"/>
      <c r="AI69" s="203"/>
      <c r="AJ69" s="203"/>
      <c r="AK69" s="203"/>
      <c r="AL69" s="203"/>
      <c r="AM69" s="203"/>
      <c r="AN69" s="203"/>
      <c r="AO69" s="203"/>
    </row>
    <row r="70" spans="1:46" x14ac:dyDescent="0.4">
      <c r="A70" s="199"/>
      <c r="B70" s="187"/>
      <c r="C70" s="187"/>
      <c r="D70" s="187"/>
      <c r="E70" s="187"/>
      <c r="F70" s="187"/>
      <c r="G70" s="187"/>
      <c r="H70" s="187"/>
      <c r="I70" s="187"/>
      <c r="J70" s="187"/>
      <c r="K70" s="187"/>
      <c r="L70" s="187"/>
      <c r="M70" s="187"/>
      <c r="N70" s="187"/>
      <c r="O70" s="187"/>
      <c r="P70" s="187"/>
      <c r="Q70" s="187"/>
      <c r="R70" s="187"/>
      <c r="S70" s="199"/>
      <c r="T70" s="199"/>
      <c r="U70" s="199"/>
      <c r="V70" s="199"/>
      <c r="W70" s="199"/>
      <c r="X70" s="199"/>
      <c r="Y70" s="199"/>
      <c r="Z70" s="199"/>
      <c r="AA70" s="199"/>
      <c r="AB70" s="199"/>
      <c r="AC70" s="199"/>
      <c r="AD70" s="199"/>
      <c r="AE70" s="199"/>
      <c r="AF70" s="199"/>
      <c r="AG70" s="199"/>
      <c r="AH70" s="199"/>
      <c r="AI70" s="199"/>
      <c r="AJ70" s="199"/>
      <c r="AK70" s="199"/>
      <c r="AL70" s="199"/>
      <c r="AM70" s="199"/>
      <c r="AN70" s="199"/>
      <c r="AO70" s="199"/>
    </row>
    <row r="71" spans="1:46" x14ac:dyDescent="0.4">
      <c r="A71" s="199"/>
      <c r="B71" s="187"/>
      <c r="C71" s="187"/>
      <c r="D71" s="187"/>
      <c r="E71" s="187"/>
      <c r="F71" s="187"/>
      <c r="G71" s="187"/>
      <c r="H71" s="187"/>
      <c r="I71" s="187"/>
      <c r="J71" s="187"/>
      <c r="K71" s="187"/>
      <c r="L71" s="187"/>
      <c r="M71" s="187"/>
      <c r="N71" s="187"/>
      <c r="O71" s="187"/>
      <c r="P71" s="187"/>
      <c r="Q71" s="187"/>
      <c r="R71" s="187"/>
      <c r="S71" s="199"/>
      <c r="T71" s="199"/>
      <c r="U71" s="199"/>
      <c r="V71" s="199"/>
      <c r="W71" s="199"/>
      <c r="X71" s="199"/>
      <c r="Y71" s="199"/>
      <c r="Z71" s="199"/>
      <c r="AA71" s="199"/>
      <c r="AB71" s="199"/>
      <c r="AC71" s="199"/>
      <c r="AD71" s="199"/>
      <c r="AE71" s="199"/>
      <c r="AF71" s="199"/>
      <c r="AG71" s="199"/>
      <c r="AH71" s="199"/>
      <c r="AI71" s="199"/>
      <c r="AJ71" s="199"/>
      <c r="AK71" s="199"/>
      <c r="AL71" s="199"/>
      <c r="AM71" s="199"/>
      <c r="AN71" s="199"/>
      <c r="AO71" s="199"/>
    </row>
    <row r="72" spans="1:46" x14ac:dyDescent="0.4">
      <c r="A72" s="199"/>
      <c r="B72" s="187"/>
      <c r="C72" s="187"/>
      <c r="D72" s="187"/>
      <c r="E72" s="187"/>
      <c r="F72" s="187"/>
      <c r="G72" s="187"/>
      <c r="H72" s="187"/>
      <c r="I72" s="187"/>
      <c r="J72" s="187"/>
      <c r="K72" s="187"/>
      <c r="L72" s="187"/>
      <c r="M72" s="187"/>
      <c r="N72" s="187"/>
      <c r="O72" s="187"/>
      <c r="P72" s="187"/>
      <c r="Q72" s="187"/>
      <c r="R72" s="187"/>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row>
    <row r="73" spans="1:46" x14ac:dyDescent="0.4">
      <c r="A73" s="199"/>
      <c r="B73" s="187"/>
      <c r="C73" s="187"/>
      <c r="D73" s="187"/>
      <c r="E73" s="187"/>
      <c r="F73" s="187"/>
      <c r="G73" s="187"/>
      <c r="H73" s="187"/>
      <c r="I73" s="187"/>
      <c r="J73" s="187"/>
      <c r="K73" s="187"/>
      <c r="L73" s="187"/>
      <c r="M73" s="187"/>
      <c r="N73" s="187"/>
      <c r="O73" s="187"/>
      <c r="P73" s="187"/>
      <c r="Q73" s="187"/>
      <c r="R73" s="187"/>
      <c r="S73" s="199"/>
      <c r="T73" s="199"/>
      <c r="U73" s="199"/>
      <c r="V73" s="199"/>
      <c r="W73" s="199"/>
      <c r="X73" s="199"/>
      <c r="Y73" s="199"/>
      <c r="Z73" s="199"/>
      <c r="AA73" s="199"/>
      <c r="AB73" s="199"/>
      <c r="AC73" s="199"/>
      <c r="AD73" s="199"/>
      <c r="AE73" s="199"/>
      <c r="AF73" s="199"/>
      <c r="AG73" s="199"/>
      <c r="AH73" s="199"/>
      <c r="AI73" s="199"/>
      <c r="AJ73" s="199"/>
      <c r="AK73" s="199"/>
      <c r="AL73" s="199"/>
      <c r="AM73" s="199"/>
      <c r="AN73" s="199"/>
      <c r="AO73" s="199"/>
    </row>
    <row r="74" spans="1:46" x14ac:dyDescent="0.4">
      <c r="A74" s="199"/>
      <c r="B74" s="187"/>
      <c r="C74" s="187"/>
      <c r="D74" s="187"/>
      <c r="E74" s="187"/>
      <c r="F74" s="187"/>
      <c r="G74" s="187"/>
      <c r="H74" s="187"/>
      <c r="I74" s="187"/>
      <c r="J74" s="187"/>
      <c r="K74" s="187"/>
      <c r="L74" s="187"/>
      <c r="M74" s="187"/>
      <c r="N74" s="187"/>
      <c r="O74" s="187"/>
      <c r="P74" s="187"/>
      <c r="Q74" s="187"/>
      <c r="R74" s="187"/>
      <c r="S74" s="199"/>
      <c r="T74" s="199"/>
      <c r="U74" s="199"/>
      <c r="V74" s="199"/>
      <c r="W74" s="199"/>
      <c r="X74" s="199"/>
      <c r="Y74" s="199"/>
      <c r="Z74" s="199"/>
      <c r="AA74" s="199"/>
      <c r="AB74" s="199"/>
      <c r="AC74" s="199"/>
      <c r="AD74" s="199"/>
      <c r="AE74" s="199"/>
      <c r="AF74" s="199"/>
      <c r="AG74" s="199"/>
      <c r="AH74" s="199"/>
      <c r="AI74" s="199"/>
      <c r="AJ74" s="199"/>
      <c r="AK74" s="199"/>
      <c r="AL74" s="199"/>
      <c r="AM74" s="199"/>
      <c r="AN74" s="199"/>
      <c r="AO74" s="199"/>
    </row>
    <row r="75" spans="1:46" x14ac:dyDescent="0.4">
      <c r="A75" s="199"/>
      <c r="B75" s="187"/>
      <c r="C75" s="187"/>
      <c r="D75" s="187"/>
      <c r="E75" s="187"/>
      <c r="F75" s="187"/>
      <c r="G75" s="187"/>
      <c r="H75" s="187"/>
      <c r="I75" s="187"/>
      <c r="J75" s="187"/>
      <c r="K75" s="187"/>
      <c r="L75" s="187"/>
      <c r="M75" s="187"/>
      <c r="N75" s="187"/>
      <c r="O75" s="187"/>
      <c r="P75" s="187"/>
      <c r="Q75" s="187"/>
      <c r="R75" s="187"/>
      <c r="S75" s="199"/>
      <c r="T75" s="199"/>
      <c r="U75" s="199"/>
      <c r="V75" s="199"/>
      <c r="W75" s="199"/>
      <c r="X75" s="199"/>
      <c r="Y75" s="199"/>
      <c r="Z75" s="199"/>
      <c r="AA75" s="199"/>
      <c r="AB75" s="199"/>
      <c r="AC75" s="199"/>
      <c r="AD75" s="199"/>
      <c r="AE75" s="199"/>
      <c r="AF75" s="199"/>
      <c r="AG75" s="199"/>
      <c r="AH75" s="199"/>
      <c r="AI75" s="199"/>
      <c r="AJ75" s="199"/>
      <c r="AK75" s="199"/>
      <c r="AL75" s="199"/>
      <c r="AM75" s="199"/>
      <c r="AN75" s="199"/>
      <c r="AO75" s="199"/>
    </row>
    <row r="76" spans="1:46" x14ac:dyDescent="0.4">
      <c r="A76" s="199"/>
      <c r="B76" s="187"/>
      <c r="C76" s="187"/>
      <c r="D76" s="187"/>
      <c r="E76" s="187"/>
      <c r="F76" s="187"/>
      <c r="G76" s="187"/>
      <c r="H76" s="187"/>
      <c r="I76" s="187"/>
      <c r="J76" s="187"/>
      <c r="K76" s="187"/>
      <c r="L76" s="187"/>
      <c r="M76" s="187"/>
      <c r="N76" s="187"/>
      <c r="O76" s="187"/>
      <c r="P76" s="187"/>
      <c r="Q76" s="187"/>
      <c r="R76" s="187"/>
      <c r="S76" s="199"/>
      <c r="T76" s="199"/>
      <c r="U76" s="199"/>
      <c r="V76" s="199"/>
      <c r="W76" s="199"/>
      <c r="X76" s="199"/>
      <c r="Y76" s="199"/>
      <c r="Z76" s="199"/>
      <c r="AA76" s="199"/>
      <c r="AB76" s="199"/>
      <c r="AC76" s="199"/>
      <c r="AD76" s="199"/>
      <c r="AE76" s="199"/>
      <c r="AF76" s="199"/>
      <c r="AG76" s="199"/>
      <c r="AH76" s="199"/>
      <c r="AI76" s="199"/>
      <c r="AJ76" s="199"/>
      <c r="AK76" s="199"/>
      <c r="AL76" s="199"/>
      <c r="AM76" s="199"/>
      <c r="AN76" s="199"/>
      <c r="AO76" s="199"/>
    </row>
    <row r="77" spans="1:46" x14ac:dyDescent="0.4">
      <c r="A77" s="199"/>
      <c r="B77" s="187"/>
      <c r="C77" s="187"/>
      <c r="D77" s="187"/>
      <c r="E77" s="187"/>
      <c r="F77" s="187"/>
      <c r="G77" s="187"/>
      <c r="H77" s="187"/>
      <c r="I77" s="187"/>
      <c r="J77" s="187"/>
      <c r="K77" s="187"/>
      <c r="L77" s="187"/>
      <c r="M77" s="187"/>
      <c r="N77" s="187"/>
      <c r="O77" s="187"/>
      <c r="P77" s="187"/>
      <c r="Q77" s="187"/>
      <c r="R77" s="187"/>
      <c r="S77" s="199"/>
      <c r="T77" s="199"/>
      <c r="U77" s="199"/>
      <c r="V77" s="199"/>
      <c r="W77" s="199"/>
      <c r="X77" s="199"/>
      <c r="Y77" s="199"/>
      <c r="Z77" s="199"/>
      <c r="AA77" s="199"/>
      <c r="AB77" s="199"/>
      <c r="AC77" s="199"/>
      <c r="AD77" s="199"/>
      <c r="AE77" s="199"/>
      <c r="AF77" s="199"/>
      <c r="AG77" s="199"/>
      <c r="AH77" s="199"/>
      <c r="AI77" s="199"/>
      <c r="AJ77" s="199"/>
      <c r="AK77" s="199"/>
      <c r="AL77" s="199"/>
      <c r="AM77" s="199"/>
      <c r="AN77" s="199"/>
      <c r="AO77" s="199"/>
    </row>
    <row r="78" spans="1:46" x14ac:dyDescent="0.4">
      <c r="A78" s="199"/>
      <c r="B78" s="187"/>
      <c r="C78" s="187"/>
      <c r="D78" s="187"/>
      <c r="E78" s="187"/>
      <c r="F78" s="187"/>
      <c r="G78" s="187"/>
      <c r="H78" s="187"/>
      <c r="I78" s="187"/>
      <c r="J78" s="187"/>
      <c r="K78" s="187"/>
      <c r="L78" s="187"/>
      <c r="M78" s="187"/>
      <c r="N78" s="187"/>
      <c r="O78" s="187"/>
      <c r="P78" s="187"/>
      <c r="Q78" s="187"/>
      <c r="R78" s="187"/>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row>
    <row r="79" spans="1:46" x14ac:dyDescent="0.4">
      <c r="A79" s="199"/>
      <c r="B79" s="187"/>
      <c r="C79" s="187"/>
      <c r="D79" s="187"/>
      <c r="E79" s="187"/>
      <c r="F79" s="187"/>
      <c r="G79" s="187"/>
      <c r="H79" s="187"/>
      <c r="I79" s="187"/>
      <c r="J79" s="187"/>
      <c r="K79" s="187"/>
      <c r="L79" s="187"/>
      <c r="M79" s="187"/>
      <c r="N79" s="187"/>
      <c r="O79" s="187"/>
      <c r="P79" s="187"/>
      <c r="Q79" s="187"/>
      <c r="R79" s="187"/>
      <c r="S79" s="189"/>
      <c r="T79" s="189"/>
      <c r="U79" s="189"/>
      <c r="V79" s="189"/>
      <c r="W79" s="189"/>
      <c r="X79" s="189"/>
      <c r="Y79" s="189"/>
      <c r="Z79" s="189"/>
      <c r="AA79" s="189"/>
      <c r="AB79" s="189"/>
      <c r="AC79" s="199"/>
      <c r="AD79" s="199"/>
      <c r="AE79" s="199"/>
      <c r="AF79" s="199"/>
      <c r="AG79" s="199"/>
      <c r="AH79" s="199"/>
      <c r="AI79" s="199"/>
      <c r="AJ79" s="199"/>
      <c r="AK79" s="199"/>
      <c r="AL79" s="199"/>
      <c r="AM79" s="199"/>
      <c r="AN79" s="199"/>
      <c r="AO79" s="199"/>
    </row>
    <row r="80" spans="1:46" x14ac:dyDescent="0.4">
      <c r="A80" s="189"/>
      <c r="B80" s="187"/>
      <c r="AC80" s="189"/>
      <c r="AD80" s="189"/>
      <c r="AE80" s="189"/>
      <c r="AF80" s="189"/>
      <c r="AG80" s="189"/>
      <c r="AH80" s="189"/>
      <c r="AI80" s="189"/>
      <c r="AJ80" s="189"/>
      <c r="AK80" s="189"/>
      <c r="AL80" s="189"/>
      <c r="AM80" s="189"/>
      <c r="AN80" s="189"/>
      <c r="AO80" s="189"/>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77"/>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6" t="s">
        <v>149</v>
      </c>
      <c r="G1" s="73"/>
      <c r="M1" s="6"/>
      <c r="N1" s="6"/>
      <c r="O1" s="6"/>
    </row>
    <row r="2" spans="1:27" s="72" customFormat="1" ht="13.15" x14ac:dyDescent="0.4">
      <c r="A2" s="206"/>
      <c r="G2" s="73"/>
      <c r="M2" s="6"/>
      <c r="N2" s="6"/>
      <c r="O2" s="6"/>
    </row>
    <row r="3" spans="1:27" s="72" customFormat="1" ht="15" x14ac:dyDescent="0.4">
      <c r="A3" s="228"/>
      <c r="G3" s="73"/>
      <c r="M3" s="6"/>
      <c r="N3" s="6"/>
      <c r="O3" s="6"/>
    </row>
    <row r="4" spans="1:27" ht="13.15" x14ac:dyDescent="0.4">
      <c r="A4" s="73" t="s">
        <v>624</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762</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763</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141</v>
      </c>
      <c r="C7" s="72"/>
      <c r="D7" s="72"/>
      <c r="E7" s="72"/>
      <c r="F7" s="86"/>
      <c r="G7" s="72" t="s">
        <v>148</v>
      </c>
      <c r="H7" s="72"/>
      <c r="I7" s="72"/>
      <c r="J7" s="72"/>
      <c r="K7" s="72"/>
      <c r="L7" s="74"/>
      <c r="M7" s="6" t="s">
        <v>624</v>
      </c>
      <c r="N7" s="6"/>
      <c r="O7" s="6"/>
      <c r="R7" s="73"/>
      <c r="S7" s="72"/>
      <c r="T7" s="72"/>
      <c r="U7" s="72"/>
      <c r="V7" s="72"/>
      <c r="W7" s="86"/>
      <c r="X7" s="72"/>
      <c r="Y7" s="72"/>
      <c r="Z7" s="72"/>
      <c r="AA7" s="72"/>
    </row>
    <row r="8" spans="1:27" ht="12.75" customHeight="1" x14ac:dyDescent="0.4">
      <c r="A8" s="73" t="s">
        <v>137</v>
      </c>
      <c r="B8" s="74" t="s">
        <v>113</v>
      </c>
      <c r="C8" s="74" t="s">
        <v>114</v>
      </c>
      <c r="D8" s="74" t="s">
        <v>115</v>
      </c>
      <c r="E8" s="74" t="s">
        <v>116</v>
      </c>
      <c r="F8" s="86"/>
      <c r="G8" s="74" t="s">
        <v>113</v>
      </c>
      <c r="H8" s="74" t="s">
        <v>114</v>
      </c>
      <c r="I8" s="74" t="s">
        <v>115</v>
      </c>
      <c r="J8" s="74" t="s">
        <v>116</v>
      </c>
      <c r="K8" s="74"/>
      <c r="L8" s="75"/>
      <c r="M8" s="6" t="s">
        <v>619</v>
      </c>
      <c r="N8" s="139"/>
      <c r="O8" s="140"/>
      <c r="R8" s="73"/>
      <c r="S8" s="74"/>
      <c r="T8" s="74"/>
      <c r="U8" s="74"/>
      <c r="V8" s="74"/>
      <c r="W8" s="86"/>
      <c r="X8" s="74"/>
      <c r="Y8" s="74"/>
      <c r="Z8" s="74"/>
      <c r="AA8" s="74"/>
    </row>
    <row r="9" spans="1:27" ht="12.75" customHeight="1" x14ac:dyDescent="0.4">
      <c r="A9" s="73" t="s">
        <v>128</v>
      </c>
      <c r="B9" s="87">
        <v>21</v>
      </c>
      <c r="C9" s="87">
        <v>16</v>
      </c>
      <c r="D9" s="87">
        <v>5</v>
      </c>
      <c r="E9" s="87">
        <v>0</v>
      </c>
      <c r="F9" s="86"/>
      <c r="G9" s="75">
        <f>B9/21</f>
        <v>1</v>
      </c>
      <c r="H9" s="75">
        <f>C9/B9</f>
        <v>0.76190476190476186</v>
      </c>
      <c r="I9" s="75">
        <f>D9/B9</f>
        <v>0.23809523809523808</v>
      </c>
      <c r="J9" s="75">
        <f>E9/B9</f>
        <v>0</v>
      </c>
      <c r="K9" s="75"/>
      <c r="L9" s="75"/>
      <c r="M9" s="6" t="s">
        <v>448</v>
      </c>
      <c r="N9" s="6"/>
      <c r="O9" s="6"/>
      <c r="R9" s="73"/>
      <c r="S9" s="86"/>
      <c r="T9" s="86"/>
      <c r="U9" s="86"/>
      <c r="V9" s="86"/>
      <c r="W9" s="86"/>
      <c r="X9" s="75"/>
      <c r="Y9" s="75"/>
      <c r="Z9" s="75"/>
      <c r="AA9" s="75"/>
    </row>
    <row r="10" spans="1:27" ht="12.75" customHeight="1" x14ac:dyDescent="0.4">
      <c r="A10" s="73" t="s">
        <v>129</v>
      </c>
      <c r="B10" s="87">
        <v>28</v>
      </c>
      <c r="C10" s="87">
        <v>21</v>
      </c>
      <c r="D10" s="87">
        <v>7</v>
      </c>
      <c r="E10" s="87">
        <v>0</v>
      </c>
      <c r="F10" s="86"/>
      <c r="G10" s="75">
        <f>B10/28</f>
        <v>1</v>
      </c>
      <c r="H10" s="75">
        <f t="shared" ref="H10:H19" si="0">C10/B10</f>
        <v>0.75</v>
      </c>
      <c r="I10" s="75">
        <f t="shared" ref="I10:I20" si="1">D10/B10</f>
        <v>0.25</v>
      </c>
      <c r="J10" s="75">
        <f t="shared" ref="J10:J20" si="2">E10/B10</f>
        <v>0</v>
      </c>
      <c r="K10" s="75"/>
      <c r="L10" s="75"/>
      <c r="M10" s="6" t="s">
        <v>205</v>
      </c>
      <c r="N10" s="76">
        <v>455</v>
      </c>
      <c r="O10" s="141" t="s">
        <v>206</v>
      </c>
      <c r="P10" s="163"/>
      <c r="R10" s="73"/>
      <c r="S10" s="86"/>
      <c r="T10" s="86"/>
      <c r="U10" s="86"/>
      <c r="V10" s="86"/>
      <c r="W10" s="86"/>
      <c r="X10" s="75"/>
      <c r="Y10" s="75"/>
      <c r="Z10" s="75"/>
      <c r="AA10" s="75"/>
    </row>
    <row r="11" spans="1:27" ht="12.75" customHeight="1" x14ac:dyDescent="0.4">
      <c r="A11" s="73" t="s">
        <v>130</v>
      </c>
      <c r="B11" s="87">
        <v>68</v>
      </c>
      <c r="C11" s="87">
        <v>60</v>
      </c>
      <c r="D11" s="87">
        <v>6</v>
      </c>
      <c r="E11" s="87">
        <v>2</v>
      </c>
      <c r="F11" s="86"/>
      <c r="G11" s="75">
        <f>B11/72</f>
        <v>0.94444444444444442</v>
      </c>
      <c r="H11" s="75">
        <f t="shared" si="0"/>
        <v>0.88235294117647056</v>
      </c>
      <c r="I11" s="75">
        <f t="shared" si="1"/>
        <v>8.8235294117647065E-2</v>
      </c>
      <c r="J11" s="75">
        <f t="shared" si="2"/>
        <v>2.9411764705882353E-2</v>
      </c>
      <c r="K11" s="75"/>
      <c r="L11" s="75"/>
      <c r="M11" s="6" t="s">
        <v>620</v>
      </c>
      <c r="N11" s="139">
        <v>264</v>
      </c>
      <c r="O11" s="140">
        <f>N11/N10</f>
        <v>0.58021978021978027</v>
      </c>
      <c r="P11" s="163"/>
      <c r="Q11" s="140"/>
      <c r="R11" s="73"/>
      <c r="S11" s="86"/>
      <c r="T11" s="86"/>
      <c r="U11" s="86"/>
      <c r="V11" s="86"/>
      <c r="W11" s="86"/>
      <c r="X11" s="75"/>
      <c r="Y11" s="75"/>
      <c r="Z11" s="75"/>
      <c r="AA11" s="75"/>
    </row>
    <row r="12" spans="1:27" ht="12.75" customHeight="1" x14ac:dyDescent="0.4">
      <c r="A12" s="73" t="s">
        <v>131</v>
      </c>
      <c r="B12" s="87">
        <v>44</v>
      </c>
      <c r="C12" s="87">
        <v>30</v>
      </c>
      <c r="D12" s="87">
        <v>13</v>
      </c>
      <c r="E12" s="87">
        <v>1</v>
      </c>
      <c r="F12" s="86"/>
      <c r="G12" s="75">
        <f>B12/60</f>
        <v>0.73333333333333328</v>
      </c>
      <c r="H12" s="75">
        <f t="shared" si="0"/>
        <v>0.68181818181818177</v>
      </c>
      <c r="I12" s="75">
        <f t="shared" si="1"/>
        <v>0.29545454545454547</v>
      </c>
      <c r="J12" s="75">
        <f t="shared" si="2"/>
        <v>2.2727272727272728E-2</v>
      </c>
      <c r="K12" s="75"/>
      <c r="L12" s="75"/>
      <c r="M12" s="6" t="s">
        <v>230</v>
      </c>
      <c r="N12" s="139">
        <v>77</v>
      </c>
      <c r="O12" s="140">
        <f>N12/N10</f>
        <v>0.16923076923076924</v>
      </c>
      <c r="P12" s="232"/>
      <c r="Q12" s="140"/>
      <c r="R12" s="73"/>
      <c r="S12" s="86"/>
      <c r="T12" s="86"/>
      <c r="U12" s="86"/>
      <c r="V12" s="86"/>
      <c r="W12" s="86"/>
      <c r="X12" s="75"/>
      <c r="Y12" s="75"/>
      <c r="Z12" s="75"/>
      <c r="AA12" s="75"/>
    </row>
    <row r="13" spans="1:27" ht="12.75" customHeight="1" x14ac:dyDescent="0.4">
      <c r="A13" s="73" t="s">
        <v>132</v>
      </c>
      <c r="B13" s="87">
        <v>26</v>
      </c>
      <c r="C13" s="87">
        <v>23</v>
      </c>
      <c r="D13" s="87">
        <v>2</v>
      </c>
      <c r="E13" s="87">
        <v>1</v>
      </c>
      <c r="F13" s="86"/>
      <c r="G13" s="75">
        <f>B13/32</f>
        <v>0.8125</v>
      </c>
      <c r="H13" s="75">
        <f t="shared" si="0"/>
        <v>0.88461538461538458</v>
      </c>
      <c r="I13" s="75">
        <f t="shared" si="1"/>
        <v>7.6923076923076927E-2</v>
      </c>
      <c r="J13" s="75">
        <f t="shared" si="2"/>
        <v>3.8461538461538464E-2</v>
      </c>
      <c r="K13" s="75"/>
      <c r="L13" s="75"/>
      <c r="M13" s="6" t="s">
        <v>621</v>
      </c>
      <c r="N13" s="139">
        <v>180</v>
      </c>
      <c r="O13" s="140">
        <f>N13/N10</f>
        <v>0.39560439560439559</v>
      </c>
      <c r="P13" s="163"/>
      <c r="Q13" s="140"/>
      <c r="R13" s="73"/>
      <c r="S13" s="86"/>
      <c r="T13" s="86"/>
      <c r="U13" s="86"/>
      <c r="V13" s="86"/>
      <c r="W13" s="86"/>
      <c r="X13" s="75"/>
      <c r="Y13" s="75"/>
      <c r="Z13" s="75"/>
      <c r="AA13" s="75"/>
    </row>
    <row r="14" spans="1:27" s="53" customFormat="1" ht="12.75" customHeight="1" x14ac:dyDescent="0.4">
      <c r="A14" s="73" t="s">
        <v>133</v>
      </c>
      <c r="B14" s="87">
        <v>62</v>
      </c>
      <c r="C14" s="87">
        <v>49</v>
      </c>
      <c r="D14" s="87">
        <v>12</v>
      </c>
      <c r="E14" s="87">
        <v>1</v>
      </c>
      <c r="F14" s="86"/>
      <c r="G14" s="75">
        <f>B14/65</f>
        <v>0.9538461538461539</v>
      </c>
      <c r="H14" s="75">
        <f t="shared" si="0"/>
        <v>0.79032258064516125</v>
      </c>
      <c r="I14" s="75">
        <f t="shared" si="1"/>
        <v>0.19354838709677419</v>
      </c>
      <c r="J14" s="75">
        <f t="shared" si="2"/>
        <v>1.6129032258064516E-2</v>
      </c>
      <c r="K14" s="75"/>
      <c r="L14" s="75"/>
      <c r="M14" s="6" t="s">
        <v>231</v>
      </c>
      <c r="N14" s="139">
        <v>34</v>
      </c>
      <c r="O14" s="140">
        <f>N14/N10</f>
        <v>7.4725274725274723E-2</v>
      </c>
      <c r="P14" s="163"/>
      <c r="Q14" s="140"/>
      <c r="R14" s="73"/>
      <c r="S14" s="86"/>
      <c r="T14" s="86"/>
      <c r="U14" s="86"/>
      <c r="V14" s="86"/>
      <c r="W14" s="86"/>
      <c r="X14" s="75"/>
      <c r="Y14" s="75"/>
      <c r="Z14" s="75"/>
      <c r="AA14" s="75"/>
    </row>
    <row r="15" spans="1:27" s="53" customFormat="1" ht="12.75" customHeight="1" x14ac:dyDescent="0.4">
      <c r="A15" s="73" t="s">
        <v>134</v>
      </c>
      <c r="B15" s="87">
        <v>64</v>
      </c>
      <c r="C15" s="87">
        <v>49</v>
      </c>
      <c r="D15" s="87">
        <v>11</v>
      </c>
      <c r="E15" s="87">
        <v>4</v>
      </c>
      <c r="F15" s="87"/>
      <c r="G15" s="75">
        <f>B15/67</f>
        <v>0.95522388059701491</v>
      </c>
      <c r="H15" s="75">
        <f t="shared" si="0"/>
        <v>0.765625</v>
      </c>
      <c r="I15" s="75">
        <f t="shared" si="1"/>
        <v>0.171875</v>
      </c>
      <c r="J15" s="75">
        <f t="shared" si="2"/>
        <v>6.25E-2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135</v>
      </c>
      <c r="B16" s="87">
        <v>60</v>
      </c>
      <c r="C16" s="87">
        <v>52</v>
      </c>
      <c r="D16" s="87">
        <v>6</v>
      </c>
      <c r="E16" s="87">
        <v>2</v>
      </c>
      <c r="F16" s="87"/>
      <c r="G16" s="75">
        <f>B16/75</f>
        <v>0.8</v>
      </c>
      <c r="H16" s="75">
        <f t="shared" si="0"/>
        <v>0.8666666666666667</v>
      </c>
      <c r="I16" s="75">
        <f t="shared" si="1"/>
        <v>0.1</v>
      </c>
      <c r="J16" s="75">
        <f t="shared" si="2"/>
        <v>3.3333333333333333E-2</v>
      </c>
      <c r="K16" s="75"/>
      <c r="L16" s="75"/>
      <c r="M16" s="6" t="s">
        <v>622</v>
      </c>
      <c r="N16" s="138" t="s">
        <v>441</v>
      </c>
      <c r="O16" s="141" t="s">
        <v>206</v>
      </c>
      <c r="P16"/>
      <c r="Q16"/>
      <c r="R16" s="73"/>
      <c r="S16" s="86"/>
      <c r="T16" s="86"/>
      <c r="U16" s="86"/>
      <c r="V16" s="86"/>
      <c r="W16" s="87"/>
      <c r="X16" s="75"/>
      <c r="Y16" s="75"/>
      <c r="Z16" s="75"/>
      <c r="AA16" s="75"/>
    </row>
    <row r="17" spans="1:27" s="53" customFormat="1" ht="12.75" customHeight="1" x14ac:dyDescent="0.4">
      <c r="A17" s="73" t="s">
        <v>382</v>
      </c>
      <c r="B17" s="87">
        <v>25</v>
      </c>
      <c r="C17" s="87">
        <v>16</v>
      </c>
      <c r="D17" s="87">
        <v>6</v>
      </c>
      <c r="E17" s="87">
        <v>3</v>
      </c>
      <c r="F17" s="87"/>
      <c r="G17" s="75">
        <f>B17/27</f>
        <v>0.92592592592592593</v>
      </c>
      <c r="H17" s="75">
        <f t="shared" si="0"/>
        <v>0.64</v>
      </c>
      <c r="I17" s="75">
        <f t="shared" si="1"/>
        <v>0.24</v>
      </c>
      <c r="J17" s="75">
        <f t="shared" si="2"/>
        <v>0.12</v>
      </c>
      <c r="K17" s="75"/>
      <c r="L17" s="75"/>
      <c r="M17" s="6" t="s">
        <v>623</v>
      </c>
      <c r="N17" s="241">
        <v>65</v>
      </c>
      <c r="O17" s="140">
        <f>N17/N10</f>
        <v>0.14285714285714285</v>
      </c>
      <c r="P17"/>
      <c r="Q17"/>
      <c r="R17" s="73"/>
      <c r="S17" s="86"/>
      <c r="T17" s="86"/>
      <c r="U17" s="86"/>
      <c r="V17" s="86"/>
      <c r="W17" s="87"/>
      <c r="X17" s="75"/>
      <c r="Y17" s="75"/>
      <c r="Z17" s="75"/>
      <c r="AA17" s="75"/>
    </row>
    <row r="18" spans="1:27" ht="12.75" customHeight="1" x14ac:dyDescent="0.4">
      <c r="A18" s="73" t="s">
        <v>136</v>
      </c>
      <c r="B18" s="87">
        <v>29</v>
      </c>
      <c r="C18" s="87">
        <v>19</v>
      </c>
      <c r="D18" s="87">
        <v>9</v>
      </c>
      <c r="E18" s="87">
        <v>1</v>
      </c>
      <c r="F18" s="87"/>
      <c r="G18" s="75">
        <f>B18/29</f>
        <v>1</v>
      </c>
      <c r="H18" s="75">
        <f t="shared" si="0"/>
        <v>0.65517241379310343</v>
      </c>
      <c r="I18" s="75">
        <f t="shared" si="1"/>
        <v>0.31034482758620691</v>
      </c>
      <c r="J18" s="75">
        <f t="shared" si="2"/>
        <v>3.4482758620689655E-2</v>
      </c>
      <c r="K18" s="75"/>
      <c r="L18" s="75"/>
      <c r="M18" s="6"/>
      <c r="N18" s="139"/>
      <c r="O18" s="140"/>
      <c r="R18" s="73"/>
      <c r="S18" s="86"/>
      <c r="T18" s="86"/>
      <c r="U18" s="86"/>
      <c r="V18" s="86"/>
      <c r="W18" s="87"/>
      <c r="X18" s="75"/>
      <c r="Y18" s="75"/>
      <c r="Z18" s="75"/>
      <c r="AA18" s="75"/>
    </row>
    <row r="19" spans="1:27" ht="12.75" customHeight="1" x14ac:dyDescent="0.4">
      <c r="A19" s="73" t="s">
        <v>308</v>
      </c>
      <c r="B19" s="87">
        <v>29</v>
      </c>
      <c r="C19" s="87">
        <v>18</v>
      </c>
      <c r="D19" s="87">
        <v>9</v>
      </c>
      <c r="E19" s="87">
        <v>2</v>
      </c>
      <c r="F19" s="87"/>
      <c r="G19" s="75">
        <f>B19/29</f>
        <v>1</v>
      </c>
      <c r="H19" s="75">
        <f t="shared" si="0"/>
        <v>0.62068965517241381</v>
      </c>
      <c r="I19" s="75">
        <f t="shared" si="1"/>
        <v>0.31034482758620691</v>
      </c>
      <c r="J19" s="75">
        <f t="shared" si="2"/>
        <v>6.8965517241379309E-2</v>
      </c>
      <c r="K19" s="75"/>
      <c r="L19" s="75"/>
      <c r="M19" s="6"/>
      <c r="N19" s="139"/>
      <c r="O19" s="140"/>
      <c r="R19" s="73"/>
      <c r="S19" s="86"/>
      <c r="T19" s="86"/>
      <c r="U19" s="86"/>
      <c r="V19" s="86"/>
      <c r="W19" s="87"/>
      <c r="X19" s="75"/>
      <c r="Y19" s="75"/>
      <c r="Z19" s="75"/>
      <c r="AA19" s="75"/>
    </row>
    <row r="20" spans="1:27" ht="12.75" customHeight="1" x14ac:dyDescent="0.4">
      <c r="A20" s="73" t="s">
        <v>24</v>
      </c>
      <c r="B20" s="87">
        <v>456</v>
      </c>
      <c r="C20" s="87">
        <v>353</v>
      </c>
      <c r="D20" s="87">
        <v>86</v>
      </c>
      <c r="E20" s="87">
        <v>17</v>
      </c>
      <c r="F20" s="72"/>
      <c r="G20" s="75">
        <f>B20/505</f>
        <v>0.902970297029703</v>
      </c>
      <c r="H20" s="75">
        <f>C20/B20</f>
        <v>0.77412280701754388</v>
      </c>
      <c r="I20" s="75">
        <f t="shared" si="1"/>
        <v>0.18859649122807018</v>
      </c>
      <c r="J20" s="75">
        <f t="shared" si="2"/>
        <v>3.7280701754385963E-2</v>
      </c>
      <c r="K20" s="75"/>
      <c r="L20" s="75"/>
      <c r="M20" s="6" t="s">
        <v>325</v>
      </c>
      <c r="N20" s="75" t="s">
        <v>323</v>
      </c>
      <c r="O20" s="75" t="s">
        <v>324</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326</v>
      </c>
      <c r="N21" s="75" t="s">
        <v>321</v>
      </c>
      <c r="O21" s="75" t="s">
        <v>322</v>
      </c>
      <c r="S21" s="53"/>
    </row>
    <row r="22" spans="1:27" ht="12.75" customHeight="1" x14ac:dyDescent="0.4">
      <c r="A22" s="73"/>
      <c r="B22" s="87"/>
      <c r="C22" s="86"/>
      <c r="D22" s="86"/>
      <c r="E22" s="87"/>
      <c r="F22" s="72"/>
      <c r="G22" s="75"/>
      <c r="H22" s="75"/>
      <c r="I22" s="75"/>
      <c r="J22" s="75"/>
      <c r="K22" s="75"/>
      <c r="L22" s="75"/>
      <c r="M22" s="6" t="s">
        <v>624</v>
      </c>
      <c r="N22" s="75">
        <f>O14</f>
        <v>7.4725274725274723E-2</v>
      </c>
      <c r="O22" s="75">
        <f>O12</f>
        <v>0.16923076923076924</v>
      </c>
      <c r="S22" s="53"/>
    </row>
    <row r="23" spans="1:27" ht="12.75" customHeight="1" x14ac:dyDescent="0.4">
      <c r="A23" s="73" t="s">
        <v>341</v>
      </c>
      <c r="B23" s="72" t="s">
        <v>141</v>
      </c>
      <c r="C23" s="72"/>
      <c r="D23" s="72"/>
      <c r="E23" s="72"/>
      <c r="F23" s="86"/>
      <c r="G23" s="72" t="s">
        <v>148</v>
      </c>
      <c r="H23" s="72"/>
      <c r="I23" s="72"/>
      <c r="J23" s="72"/>
      <c r="K23" s="75"/>
      <c r="L23" s="75"/>
      <c r="M23" s="73" t="s">
        <v>571</v>
      </c>
      <c r="N23" s="168">
        <v>0.1006036217303823</v>
      </c>
      <c r="O23" s="75">
        <v>0.1488933601609658</v>
      </c>
      <c r="S23" s="53"/>
    </row>
    <row r="24" spans="1:27" ht="12.75" customHeight="1" x14ac:dyDescent="0.4">
      <c r="A24" s="73"/>
      <c r="B24" s="74" t="s">
        <v>113</v>
      </c>
      <c r="C24" s="74" t="s">
        <v>114</v>
      </c>
      <c r="D24" s="74" t="s">
        <v>115</v>
      </c>
      <c r="E24" s="74" t="s">
        <v>116</v>
      </c>
      <c r="F24" s="86"/>
      <c r="G24" s="74" t="s">
        <v>113</v>
      </c>
      <c r="H24" s="74" t="s">
        <v>114</v>
      </c>
      <c r="I24" s="74" t="s">
        <v>115</v>
      </c>
      <c r="J24" s="74" t="s">
        <v>116</v>
      </c>
      <c r="K24" s="168"/>
      <c r="L24" s="75"/>
      <c r="M24" s="73" t="s">
        <v>556</v>
      </c>
      <c r="N24" s="168">
        <v>0.10220440881763528</v>
      </c>
      <c r="O24" s="75">
        <v>7.4148296593186377E-2</v>
      </c>
      <c r="S24" s="53"/>
    </row>
    <row r="25" spans="1:27" ht="12.75" customHeight="1" x14ac:dyDescent="0.4">
      <c r="A25" s="73" t="s">
        <v>571</v>
      </c>
      <c r="B25" s="87">
        <v>500</v>
      </c>
      <c r="C25" s="87">
        <v>378</v>
      </c>
      <c r="D25" s="87">
        <v>102</v>
      </c>
      <c r="E25" s="87">
        <v>20</v>
      </c>
      <c r="F25" s="87"/>
      <c r="G25" s="166">
        <v>0.99009900990099009</v>
      </c>
      <c r="H25" s="166">
        <v>0.75600000000000001</v>
      </c>
      <c r="I25" s="166">
        <v>0.20399999999999999</v>
      </c>
      <c r="J25" s="166">
        <v>0.04</v>
      </c>
      <c r="K25" s="168"/>
      <c r="L25" s="75"/>
      <c r="M25" s="73" t="s">
        <v>547</v>
      </c>
      <c r="N25" s="168">
        <v>0.11022044088176353</v>
      </c>
      <c r="O25" s="75">
        <v>5.410821643286573E-2</v>
      </c>
      <c r="R25" s="6"/>
      <c r="S25" s="6"/>
      <c r="T25" s="6"/>
    </row>
    <row r="26" spans="1:27" ht="12.75" customHeight="1" x14ac:dyDescent="0.4">
      <c r="A26" s="73" t="s">
        <v>556</v>
      </c>
      <c r="B26" s="87">
        <v>500</v>
      </c>
      <c r="C26" s="87">
        <v>401</v>
      </c>
      <c r="D26" s="87">
        <v>84</v>
      </c>
      <c r="E26" s="87">
        <v>15</v>
      </c>
      <c r="F26" s="87"/>
      <c r="G26" s="166">
        <v>0.99009900990099009</v>
      </c>
      <c r="H26" s="166">
        <v>0.80200000000000005</v>
      </c>
      <c r="I26" s="166">
        <v>0.16800000000000001</v>
      </c>
      <c r="J26" s="166">
        <v>0.03</v>
      </c>
      <c r="K26" s="168"/>
      <c r="L26" s="75"/>
      <c r="M26" s="73" t="s">
        <v>531</v>
      </c>
      <c r="N26" s="168">
        <v>0.104</v>
      </c>
      <c r="O26" s="75">
        <v>5.8000000000000003E-2</v>
      </c>
      <c r="R26" s="6"/>
      <c r="S26" s="139"/>
      <c r="T26" s="140"/>
    </row>
    <row r="27" spans="1:27" ht="12.75" customHeight="1" x14ac:dyDescent="0.4">
      <c r="A27" s="73" t="s">
        <v>547</v>
      </c>
      <c r="B27" s="87">
        <v>500</v>
      </c>
      <c r="C27" s="87">
        <v>431</v>
      </c>
      <c r="D27" s="87">
        <v>53</v>
      </c>
      <c r="E27" s="87">
        <v>16</v>
      </c>
      <c r="F27" s="87"/>
      <c r="G27" s="166">
        <v>0.99009900990099009</v>
      </c>
      <c r="H27" s="166">
        <v>0.86199999999999999</v>
      </c>
      <c r="I27" s="166">
        <v>0.106</v>
      </c>
      <c r="J27" s="166">
        <v>3.2000000000000001E-2</v>
      </c>
      <c r="K27" s="168"/>
      <c r="L27" s="75"/>
      <c r="M27" s="73" t="s">
        <v>499</v>
      </c>
      <c r="N27" s="168">
        <v>9.0180360721442893E-2</v>
      </c>
      <c r="O27" s="75">
        <v>6.0120240480961921E-2</v>
      </c>
      <c r="R27" s="6"/>
      <c r="S27" s="6"/>
      <c r="T27" s="6"/>
    </row>
    <row r="28" spans="1:27" ht="12.75" customHeight="1" x14ac:dyDescent="0.4">
      <c r="A28" s="73" t="s">
        <v>531</v>
      </c>
      <c r="B28" s="87">
        <v>499</v>
      </c>
      <c r="C28" s="87">
        <v>426</v>
      </c>
      <c r="D28" s="87">
        <v>56</v>
      </c>
      <c r="E28" s="87">
        <v>17</v>
      </c>
      <c r="F28" s="87"/>
      <c r="G28" s="166">
        <v>0.98811881188118811</v>
      </c>
      <c r="H28" s="166">
        <v>0.85370741482965928</v>
      </c>
      <c r="I28" s="166">
        <v>0.11222444889779559</v>
      </c>
      <c r="J28" s="166">
        <v>3.406813627254509E-2</v>
      </c>
      <c r="K28" s="168"/>
      <c r="L28" s="75"/>
      <c r="M28" s="73" t="s">
        <v>457</v>
      </c>
      <c r="N28" s="168">
        <v>8.617234468937876E-2</v>
      </c>
      <c r="O28" s="75">
        <v>9.6192384769539077E-2</v>
      </c>
      <c r="R28" s="6"/>
      <c r="S28" s="76"/>
      <c r="T28" s="141"/>
    </row>
    <row r="29" spans="1:27" ht="12.75" customHeight="1" x14ac:dyDescent="0.4">
      <c r="A29" s="73" t="s">
        <v>499</v>
      </c>
      <c r="B29" s="87">
        <v>500</v>
      </c>
      <c r="C29" s="87">
        <v>384</v>
      </c>
      <c r="D29" s="87">
        <v>98</v>
      </c>
      <c r="E29" s="87">
        <v>18</v>
      </c>
      <c r="F29" s="72"/>
      <c r="G29" s="75">
        <v>0.99009900990099009</v>
      </c>
      <c r="H29" s="75">
        <v>0.76800000000000002</v>
      </c>
      <c r="I29" s="75">
        <v>0.19600000000000001</v>
      </c>
      <c r="J29" s="75">
        <v>3.5999999999999997E-2</v>
      </c>
      <c r="K29" s="168"/>
      <c r="L29" s="75"/>
      <c r="M29" s="73" t="s">
        <v>456</v>
      </c>
      <c r="N29" s="168">
        <v>8.5999999999999993E-2</v>
      </c>
      <c r="O29" s="75">
        <v>0.17799999999999999</v>
      </c>
      <c r="R29" s="6"/>
      <c r="S29" s="139"/>
      <c r="T29" s="140"/>
    </row>
    <row r="30" spans="1:27" ht="12.75" customHeight="1" x14ac:dyDescent="0.4">
      <c r="A30" s="73" t="s">
        <v>457</v>
      </c>
      <c r="B30" s="87">
        <v>499</v>
      </c>
      <c r="C30" s="87">
        <v>419</v>
      </c>
      <c r="D30" s="87">
        <v>64</v>
      </c>
      <c r="E30" s="87">
        <v>16</v>
      </c>
      <c r="F30" s="87"/>
      <c r="G30" s="166">
        <v>0.98811881188118811</v>
      </c>
      <c r="H30" s="166">
        <v>0.83967935871743482</v>
      </c>
      <c r="I30" s="166">
        <v>0.12825651302605209</v>
      </c>
      <c r="J30" s="166">
        <v>3.2064128256513023E-2</v>
      </c>
      <c r="K30" s="168"/>
      <c r="L30" s="75"/>
      <c r="M30" s="73" t="s">
        <v>455</v>
      </c>
      <c r="N30" s="168">
        <v>0.08</v>
      </c>
      <c r="O30" s="75">
        <v>0.19600000000000001</v>
      </c>
      <c r="R30" s="6"/>
      <c r="S30" s="139"/>
      <c r="T30" s="140"/>
      <c r="U30" s="72"/>
    </row>
    <row r="31" spans="1:27" ht="12.75" customHeight="1" x14ac:dyDescent="0.4">
      <c r="A31" s="73" t="s">
        <v>456</v>
      </c>
      <c r="B31" s="87">
        <v>502</v>
      </c>
      <c r="C31" s="87">
        <v>413</v>
      </c>
      <c r="D31" s="87">
        <v>77</v>
      </c>
      <c r="E31" s="87">
        <v>12</v>
      </c>
      <c r="F31" s="87"/>
      <c r="G31" s="166">
        <v>0.99405940594059405</v>
      </c>
      <c r="H31" s="166">
        <v>0.82270916334661359</v>
      </c>
      <c r="I31" s="166">
        <v>0.15338645418326693</v>
      </c>
      <c r="J31" s="166">
        <v>2.3904382470119521E-2</v>
      </c>
      <c r="K31" s="168"/>
      <c r="L31" s="75"/>
      <c r="M31" s="73" t="s">
        <v>445</v>
      </c>
      <c r="N31" s="168">
        <v>7.6305220883534142E-2</v>
      </c>
      <c r="O31" s="75">
        <v>0.20682730923694778</v>
      </c>
      <c r="R31" s="6"/>
      <c r="S31" s="139"/>
      <c r="T31" s="140"/>
    </row>
    <row r="32" spans="1:27" ht="12.75" customHeight="1" x14ac:dyDescent="0.4">
      <c r="A32" s="73" t="s">
        <v>455</v>
      </c>
      <c r="B32" s="87">
        <v>500</v>
      </c>
      <c r="C32" s="87">
        <v>329</v>
      </c>
      <c r="D32" s="87">
        <v>150</v>
      </c>
      <c r="E32" s="87">
        <v>21</v>
      </c>
      <c r="F32" s="87"/>
      <c r="G32" s="166">
        <v>0.99009900990099009</v>
      </c>
      <c r="H32" s="166">
        <v>0.65800000000000003</v>
      </c>
      <c r="I32" s="166">
        <v>0.3</v>
      </c>
      <c r="J32" s="166">
        <v>4.2000000000000003E-2</v>
      </c>
      <c r="K32" s="168"/>
      <c r="L32" s="75"/>
      <c r="M32" s="73" t="s">
        <v>432</v>
      </c>
      <c r="N32" s="168">
        <v>8.617234468937876E-2</v>
      </c>
      <c r="O32" s="75">
        <v>0.22845691382765532</v>
      </c>
      <c r="P32" s="86"/>
      <c r="R32" s="6"/>
      <c r="S32" s="139"/>
      <c r="T32" s="140"/>
    </row>
    <row r="33" spans="1:19" ht="12.75" customHeight="1" x14ac:dyDescent="0.4">
      <c r="A33" s="73" t="s">
        <v>445</v>
      </c>
      <c r="B33" s="87">
        <v>502</v>
      </c>
      <c r="C33" s="87">
        <v>349</v>
      </c>
      <c r="D33" s="87">
        <v>112</v>
      </c>
      <c r="E33" s="87">
        <v>41</v>
      </c>
      <c r="F33" s="87"/>
      <c r="G33" s="166">
        <v>0.99405940594059405</v>
      </c>
      <c r="H33" s="166">
        <v>0.69521912350597614</v>
      </c>
      <c r="I33" s="166">
        <v>0.22310756972111553</v>
      </c>
      <c r="J33" s="166">
        <v>8.1673306772908363E-2</v>
      </c>
      <c r="K33" s="168"/>
      <c r="L33" s="75"/>
      <c r="M33" s="73" t="s">
        <v>401</v>
      </c>
      <c r="N33" s="168">
        <v>7.9840319361277445E-2</v>
      </c>
      <c r="O33" s="75">
        <v>0.24151696606786427</v>
      </c>
      <c r="P33" s="86"/>
      <c r="S33" s="53"/>
    </row>
    <row r="34" spans="1:19" ht="12.75" customHeight="1" x14ac:dyDescent="0.4">
      <c r="A34" s="73" t="s">
        <v>432</v>
      </c>
      <c r="B34" s="87">
        <v>498</v>
      </c>
      <c r="C34" s="86">
        <v>374</v>
      </c>
      <c r="D34" s="86">
        <v>91</v>
      </c>
      <c r="E34" s="87">
        <v>33</v>
      </c>
      <c r="F34" s="72"/>
      <c r="G34" s="75">
        <v>0.98613861386138613</v>
      </c>
      <c r="H34" s="75">
        <v>0.75100401606425704</v>
      </c>
      <c r="I34" s="75">
        <v>0.18273092369477911</v>
      </c>
      <c r="J34" s="75">
        <v>6.6265060240963861E-2</v>
      </c>
      <c r="K34" s="168"/>
      <c r="L34" s="75"/>
      <c r="M34" s="73" t="s">
        <v>400</v>
      </c>
      <c r="N34" s="168">
        <v>8.0321285140562249E-2</v>
      </c>
      <c r="O34" s="75">
        <v>0.24899598393574296</v>
      </c>
      <c r="P34" s="86"/>
      <c r="S34" s="53"/>
    </row>
    <row r="35" spans="1:19" ht="12.75" customHeight="1" x14ac:dyDescent="0.4">
      <c r="A35" s="73" t="s">
        <v>401</v>
      </c>
      <c r="B35" s="87">
        <v>497</v>
      </c>
      <c r="C35" s="87">
        <v>366</v>
      </c>
      <c r="D35" s="87">
        <v>88</v>
      </c>
      <c r="E35" s="87">
        <v>43</v>
      </c>
      <c r="F35" s="87"/>
      <c r="G35" s="166">
        <v>0.98415841584158414</v>
      </c>
      <c r="H35" s="166">
        <v>0.73641851106639844</v>
      </c>
      <c r="I35" s="166">
        <v>0.17706237424547283</v>
      </c>
      <c r="J35" s="166">
        <v>8.651911468812877E-2</v>
      </c>
      <c r="K35" s="168"/>
      <c r="L35" s="75"/>
      <c r="M35" s="73" t="s">
        <v>365</v>
      </c>
      <c r="N35" s="168">
        <v>8.4507042253521125E-2</v>
      </c>
      <c r="O35" s="75">
        <v>0.18712273641851107</v>
      </c>
      <c r="P35" s="86"/>
      <c r="S35" s="53"/>
    </row>
    <row r="36" spans="1:19" ht="12.75" customHeight="1" x14ac:dyDescent="0.4">
      <c r="A36" s="73" t="s">
        <v>400</v>
      </c>
      <c r="B36" s="87">
        <v>501</v>
      </c>
      <c r="C36" s="87">
        <v>371</v>
      </c>
      <c r="D36" s="87">
        <v>95</v>
      </c>
      <c r="E36" s="87">
        <v>35</v>
      </c>
      <c r="F36" s="87"/>
      <c r="G36" s="166">
        <v>0.99207920792079207</v>
      </c>
      <c r="H36" s="166">
        <v>0.74051896207584833</v>
      </c>
      <c r="I36" s="166">
        <v>0.18962075848303392</v>
      </c>
      <c r="J36" s="166">
        <v>6.9860279441117765E-2</v>
      </c>
      <c r="K36" s="168"/>
      <c r="L36" s="75"/>
      <c r="M36" s="73" t="s">
        <v>364</v>
      </c>
      <c r="N36" s="168">
        <v>6.4257028112449793E-2</v>
      </c>
      <c r="O36" s="75">
        <v>0.17670682730923695</v>
      </c>
      <c r="P36" s="86"/>
      <c r="S36" s="53"/>
    </row>
    <row r="37" spans="1:19" ht="12.75" customHeight="1" x14ac:dyDescent="0.4">
      <c r="A37" s="73" t="s">
        <v>365</v>
      </c>
      <c r="B37" s="87">
        <v>501</v>
      </c>
      <c r="C37" s="87">
        <v>341</v>
      </c>
      <c r="D37" s="87">
        <v>125</v>
      </c>
      <c r="E37" s="87">
        <v>35</v>
      </c>
      <c r="F37" s="87"/>
      <c r="G37" s="166">
        <v>0.99207920792079207</v>
      </c>
      <c r="H37" s="166">
        <v>0.68063872255489022</v>
      </c>
      <c r="I37" s="166">
        <v>0.249500998003992</v>
      </c>
      <c r="J37" s="166">
        <v>6.9860279441117765E-2</v>
      </c>
      <c r="K37" s="75"/>
      <c r="L37" s="75"/>
      <c r="M37" s="73" t="s">
        <v>363</v>
      </c>
      <c r="N37" s="168">
        <v>6.2E-2</v>
      </c>
      <c r="O37" s="75">
        <v>0.156</v>
      </c>
      <c r="P37" s="86"/>
      <c r="S37" s="53"/>
    </row>
    <row r="38" spans="1:19" ht="12.75" customHeight="1" x14ac:dyDescent="0.4">
      <c r="A38" s="73" t="s">
        <v>364</v>
      </c>
      <c r="B38" s="87">
        <v>497</v>
      </c>
      <c r="C38" s="87">
        <v>382</v>
      </c>
      <c r="D38" s="87">
        <v>75</v>
      </c>
      <c r="E38" s="87">
        <v>40</v>
      </c>
      <c r="F38" s="87"/>
      <c r="G38" s="166">
        <v>0.98415841584158414</v>
      </c>
      <c r="H38" s="166">
        <v>0.76861167002012076</v>
      </c>
      <c r="I38" s="166">
        <v>0.15090543259557343</v>
      </c>
      <c r="J38" s="166">
        <v>8.0482897384305835E-2</v>
      </c>
      <c r="K38" s="75"/>
      <c r="L38" s="75"/>
      <c r="M38" s="73" t="s">
        <v>362</v>
      </c>
      <c r="N38" s="75">
        <v>7.0140280561122245E-2</v>
      </c>
      <c r="O38" s="75">
        <v>0.13627254509018036</v>
      </c>
      <c r="P38" s="86"/>
      <c r="S38" s="53"/>
    </row>
    <row r="39" spans="1:19" ht="12.75" customHeight="1" x14ac:dyDescent="0.4">
      <c r="A39" s="73" t="s">
        <v>363</v>
      </c>
      <c r="B39" s="87">
        <v>499</v>
      </c>
      <c r="C39" s="87">
        <v>399</v>
      </c>
      <c r="D39" s="87">
        <v>74</v>
      </c>
      <c r="E39" s="87">
        <v>26</v>
      </c>
      <c r="F39" s="87"/>
      <c r="G39" s="166">
        <v>0.98811881188118811</v>
      </c>
      <c r="H39" s="166">
        <v>0.79959919839679361</v>
      </c>
      <c r="I39" s="166">
        <v>0.14829659318637275</v>
      </c>
      <c r="J39" s="166">
        <v>5.2104208416833664E-2</v>
      </c>
      <c r="K39" s="75"/>
      <c r="L39" s="75"/>
      <c r="M39" s="73" t="s">
        <v>367</v>
      </c>
      <c r="N39" s="168">
        <v>6.8273092369477914E-2</v>
      </c>
      <c r="O39" s="75">
        <v>0.15060240963855423</v>
      </c>
      <c r="P39" s="86"/>
      <c r="S39" s="53"/>
    </row>
    <row r="40" spans="1:19" ht="12.75" customHeight="1" x14ac:dyDescent="0.4">
      <c r="A40" s="73" t="s">
        <v>362</v>
      </c>
      <c r="B40" s="87">
        <v>500</v>
      </c>
      <c r="C40" s="87">
        <v>385</v>
      </c>
      <c r="D40" s="87">
        <v>86</v>
      </c>
      <c r="E40" s="87">
        <v>29</v>
      </c>
      <c r="F40" s="87"/>
      <c r="G40" s="166">
        <v>0.99009900990099009</v>
      </c>
      <c r="H40" s="166">
        <v>0.77</v>
      </c>
      <c r="I40" s="166">
        <v>0.17199999999999999</v>
      </c>
      <c r="J40" s="166">
        <v>5.8000000000000003E-2</v>
      </c>
      <c r="K40" s="75"/>
      <c r="L40" s="75"/>
      <c r="M40" s="73" t="s">
        <v>358</v>
      </c>
      <c r="N40" s="168">
        <v>8.617234468937876E-2</v>
      </c>
      <c r="O40" s="75">
        <v>0.14228456913827656</v>
      </c>
      <c r="P40" s="86"/>
      <c r="S40" s="53"/>
    </row>
    <row r="41" spans="1:19" ht="12.75" customHeight="1" x14ac:dyDescent="0.4">
      <c r="A41" s="73" t="s">
        <v>367</v>
      </c>
      <c r="B41" s="87">
        <v>500</v>
      </c>
      <c r="C41" s="87">
        <v>375</v>
      </c>
      <c r="D41" s="87">
        <v>82</v>
      </c>
      <c r="E41" s="87">
        <v>43</v>
      </c>
      <c r="F41" s="87"/>
      <c r="G41" s="166">
        <v>0.99009900990099009</v>
      </c>
      <c r="H41" s="166">
        <v>0.75</v>
      </c>
      <c r="I41" s="166">
        <v>0.16400000000000001</v>
      </c>
      <c r="J41" s="166">
        <v>8.5999999999999993E-2</v>
      </c>
      <c r="K41" s="75"/>
      <c r="L41" s="75"/>
      <c r="M41" s="73" t="s">
        <v>349</v>
      </c>
      <c r="N41" s="168">
        <v>0.1</v>
      </c>
      <c r="O41" s="75">
        <v>0.14000000000000001</v>
      </c>
      <c r="P41" s="86"/>
      <c r="S41" s="53"/>
    </row>
    <row r="42" spans="1:19" ht="12.75" customHeight="1" x14ac:dyDescent="0.4">
      <c r="A42" s="73" t="s">
        <v>358</v>
      </c>
      <c r="B42" s="87">
        <v>503</v>
      </c>
      <c r="C42" s="87">
        <v>365</v>
      </c>
      <c r="D42" s="87">
        <v>96</v>
      </c>
      <c r="E42" s="87">
        <v>42</v>
      </c>
      <c r="F42" s="87"/>
      <c r="G42" s="166">
        <v>0.99603960396039604</v>
      </c>
      <c r="H42" s="166">
        <v>0.72564612326043743</v>
      </c>
      <c r="I42" s="166">
        <v>0.19085487077534791</v>
      </c>
      <c r="J42" s="166">
        <v>8.3499005964214709E-2</v>
      </c>
      <c r="K42" s="75"/>
      <c r="L42" s="75"/>
      <c r="M42" s="73" t="s">
        <v>343</v>
      </c>
      <c r="N42" s="168">
        <v>0.12</v>
      </c>
      <c r="O42" s="75">
        <v>0.14799999999999999</v>
      </c>
      <c r="P42" s="87"/>
      <c r="S42" s="53"/>
    </row>
    <row r="43" spans="1:19" ht="12.75" customHeight="1" x14ac:dyDescent="0.4">
      <c r="A43" s="73" t="s">
        <v>349</v>
      </c>
      <c r="B43" s="87">
        <v>503</v>
      </c>
      <c r="C43" s="87">
        <v>353</v>
      </c>
      <c r="D43" s="87">
        <v>101</v>
      </c>
      <c r="E43" s="87">
        <v>49</v>
      </c>
      <c r="F43" s="87"/>
      <c r="G43" s="166">
        <v>0.99603960396039604</v>
      </c>
      <c r="H43" s="166">
        <v>0.70178926441351885</v>
      </c>
      <c r="I43" s="166">
        <v>0.20079522862823063</v>
      </c>
      <c r="J43" s="166">
        <v>9.7415506958250492E-2</v>
      </c>
      <c r="K43" s="75"/>
      <c r="L43" s="75"/>
      <c r="M43" s="73" t="s">
        <v>287</v>
      </c>
      <c r="N43" s="168">
        <v>0.10483870967741936</v>
      </c>
      <c r="O43" s="75">
        <v>0.19354838709677419</v>
      </c>
      <c r="P43" s="87"/>
      <c r="S43" s="53"/>
    </row>
    <row r="44" spans="1:19" ht="12.75" customHeight="1" x14ac:dyDescent="0.4">
      <c r="A44" s="73" t="s">
        <v>343</v>
      </c>
      <c r="B44" s="87">
        <v>503</v>
      </c>
      <c r="C44" s="87">
        <v>372</v>
      </c>
      <c r="D44" s="87">
        <v>95</v>
      </c>
      <c r="E44" s="87">
        <v>36</v>
      </c>
      <c r="F44" s="87"/>
      <c r="G44" s="166">
        <v>0.99603960396039604</v>
      </c>
      <c r="H44" s="166">
        <v>0.73956262425447317</v>
      </c>
      <c r="I44" s="166">
        <v>0.18886679920477137</v>
      </c>
      <c r="J44" s="166">
        <v>7.1570576540755465E-2</v>
      </c>
      <c r="K44" s="75"/>
      <c r="L44" s="75"/>
      <c r="M44" s="73" t="s">
        <v>286</v>
      </c>
      <c r="N44" s="168">
        <v>9.9391480730223122E-2</v>
      </c>
      <c r="O44" s="75">
        <v>0.23732251521298176</v>
      </c>
      <c r="S44" s="53"/>
    </row>
    <row r="45" spans="1:19" ht="12.75" customHeight="1" x14ac:dyDescent="0.4">
      <c r="A45" s="73" t="s">
        <v>287</v>
      </c>
      <c r="B45" s="87">
        <v>501</v>
      </c>
      <c r="C45" s="87">
        <v>337</v>
      </c>
      <c r="D45" s="87">
        <v>110</v>
      </c>
      <c r="E45" s="87">
        <v>54</v>
      </c>
      <c r="F45" s="87"/>
      <c r="G45" s="166">
        <v>0.99207920792079207</v>
      </c>
      <c r="H45" s="166">
        <v>0.67265469061876249</v>
      </c>
      <c r="I45" s="166">
        <v>0.21956087824351297</v>
      </c>
      <c r="J45" s="166">
        <v>0.10778443113772455</v>
      </c>
      <c r="K45" s="75"/>
      <c r="L45" s="75"/>
      <c r="M45" s="73" t="s">
        <v>285</v>
      </c>
      <c r="N45" s="168">
        <v>0.10483870967741936</v>
      </c>
      <c r="O45" s="75">
        <v>0.2661290322580645</v>
      </c>
      <c r="S45" s="53"/>
    </row>
    <row r="46" spans="1:19" ht="12.75" customHeight="1" x14ac:dyDescent="0.4">
      <c r="A46" s="73" t="s">
        <v>286</v>
      </c>
      <c r="B46" s="87">
        <v>498</v>
      </c>
      <c r="C46" s="87">
        <v>351</v>
      </c>
      <c r="D46" s="87">
        <v>105</v>
      </c>
      <c r="E46" s="87">
        <v>42</v>
      </c>
      <c r="F46" s="87"/>
      <c r="G46" s="166">
        <v>0.98613861386138613</v>
      </c>
      <c r="H46" s="166">
        <v>0.70481927710843373</v>
      </c>
      <c r="I46" s="166">
        <v>0.21084337349397592</v>
      </c>
      <c r="J46" s="166">
        <v>8.4337349397590355E-2</v>
      </c>
      <c r="K46" s="75"/>
      <c r="L46" s="75"/>
      <c r="M46" s="73" t="s">
        <v>284</v>
      </c>
      <c r="N46" s="168">
        <v>0.1006036217303823</v>
      </c>
      <c r="O46" s="75">
        <v>0.28169014084507044</v>
      </c>
      <c r="S46" s="53"/>
    </row>
    <row r="47" spans="1:19" ht="12.75" customHeight="1" x14ac:dyDescent="0.4">
      <c r="A47" s="73" t="s">
        <v>285</v>
      </c>
      <c r="B47" s="87">
        <v>497</v>
      </c>
      <c r="C47" s="87">
        <v>349</v>
      </c>
      <c r="D47" s="87">
        <v>104</v>
      </c>
      <c r="E47" s="87">
        <v>44</v>
      </c>
      <c r="F47" s="87"/>
      <c r="G47" s="166">
        <v>0.98611111111111116</v>
      </c>
      <c r="H47" s="166">
        <v>0.70221327967806846</v>
      </c>
      <c r="I47" s="166">
        <v>0.20925553319919518</v>
      </c>
      <c r="J47" s="166">
        <v>8.8531187122736416E-2</v>
      </c>
      <c r="K47" s="75"/>
      <c r="L47" s="75"/>
      <c r="M47" s="73" t="s">
        <v>274</v>
      </c>
      <c r="N47" s="168">
        <v>9.4758064516129031E-2</v>
      </c>
      <c r="O47" s="75">
        <v>0.25806451612903225</v>
      </c>
      <c r="S47" s="53"/>
    </row>
    <row r="48" spans="1:19" ht="12.75" customHeight="1" x14ac:dyDescent="0.4">
      <c r="A48" s="73" t="s">
        <v>284</v>
      </c>
      <c r="B48" s="87">
        <v>499</v>
      </c>
      <c r="C48" s="87">
        <v>361</v>
      </c>
      <c r="D48" s="87">
        <v>103</v>
      </c>
      <c r="E48" s="87">
        <v>35</v>
      </c>
      <c r="F48" s="87"/>
      <c r="G48" s="166">
        <v>0.99007936507936511</v>
      </c>
      <c r="H48" s="166">
        <v>0.7234468937875751</v>
      </c>
      <c r="I48" s="166">
        <v>0.20641282565130262</v>
      </c>
      <c r="J48" s="166">
        <v>7.0140280561122245E-2</v>
      </c>
      <c r="K48" s="75"/>
      <c r="L48" s="75"/>
      <c r="M48" s="73" t="s">
        <v>263</v>
      </c>
      <c r="N48" s="168">
        <v>9.6385542168674704E-2</v>
      </c>
      <c r="O48" s="75">
        <v>0.22690763052208834</v>
      </c>
      <c r="S48" s="53"/>
    </row>
    <row r="49" spans="1:27" ht="12.75" customHeight="1" x14ac:dyDescent="0.4">
      <c r="A49" s="73" t="s">
        <v>274</v>
      </c>
      <c r="B49" s="87">
        <v>496</v>
      </c>
      <c r="C49" s="87">
        <v>341</v>
      </c>
      <c r="D49" s="87">
        <v>107</v>
      </c>
      <c r="E49" s="87">
        <v>48</v>
      </c>
      <c r="F49" s="87"/>
      <c r="G49" s="166">
        <v>0.98804780876494025</v>
      </c>
      <c r="H49" s="166">
        <v>0.6875</v>
      </c>
      <c r="I49" s="166">
        <v>0.21572580645161291</v>
      </c>
      <c r="J49" s="166">
        <v>9.6774193548387094E-2</v>
      </c>
      <c r="K49" s="75"/>
      <c r="L49" s="75"/>
      <c r="M49" s="73" t="s">
        <v>255</v>
      </c>
      <c r="N49" s="168">
        <v>9.036144578313253E-2</v>
      </c>
      <c r="O49" s="75">
        <v>0.21084337349397592</v>
      </c>
      <c r="S49" s="53"/>
    </row>
    <row r="50" spans="1:27" ht="12.75" customHeight="1" x14ac:dyDescent="0.4">
      <c r="A50" s="73" t="s">
        <v>263</v>
      </c>
      <c r="B50" s="87">
        <v>499</v>
      </c>
      <c r="C50" s="87">
        <v>339</v>
      </c>
      <c r="D50" s="87">
        <v>115</v>
      </c>
      <c r="E50" s="87">
        <v>45</v>
      </c>
      <c r="F50" s="87"/>
      <c r="G50" s="166">
        <v>0.99402390438247012</v>
      </c>
      <c r="H50" s="166">
        <v>0.67935871743486975</v>
      </c>
      <c r="I50" s="166">
        <v>0.23046092184368738</v>
      </c>
      <c r="J50" s="166">
        <v>9.0180360721442893E-2</v>
      </c>
      <c r="K50" s="72"/>
      <c r="L50" s="72"/>
      <c r="M50" s="73" t="s">
        <v>251</v>
      </c>
      <c r="N50" s="168">
        <v>7.6152304609218444E-2</v>
      </c>
      <c r="O50" s="75">
        <v>0.21042084168336672</v>
      </c>
      <c r="S50" s="53"/>
    </row>
    <row r="51" spans="1:27" ht="13.15" x14ac:dyDescent="0.4">
      <c r="A51" s="73" t="s">
        <v>255</v>
      </c>
      <c r="B51" s="87">
        <v>496</v>
      </c>
      <c r="C51" s="87">
        <v>346</v>
      </c>
      <c r="D51" s="87">
        <v>109</v>
      </c>
      <c r="E51" s="87">
        <v>41</v>
      </c>
      <c r="F51" s="87"/>
      <c r="G51" s="166">
        <v>0.98804780876494025</v>
      </c>
      <c r="H51" s="166">
        <v>0.69758064516129037</v>
      </c>
      <c r="I51" s="166">
        <v>0.21975806451612903</v>
      </c>
      <c r="J51" s="166">
        <v>8.2661290322580641E-2</v>
      </c>
      <c r="K51" s="72"/>
      <c r="L51" s="72"/>
      <c r="M51" s="6" t="s">
        <v>302</v>
      </c>
      <c r="N51" s="168">
        <v>6.0362173038229376E-2</v>
      </c>
      <c r="O51" s="75">
        <v>0.21327967806841047</v>
      </c>
      <c r="S51" s="53"/>
    </row>
    <row r="52" spans="1:27" ht="14.25" customHeight="1" x14ac:dyDescent="0.4">
      <c r="A52" s="73" t="s">
        <v>251</v>
      </c>
      <c r="B52" s="87">
        <v>498</v>
      </c>
      <c r="C52" s="87">
        <v>337</v>
      </c>
      <c r="D52" s="87">
        <v>114</v>
      </c>
      <c r="E52" s="87">
        <v>47</v>
      </c>
      <c r="F52" s="87"/>
      <c r="G52" s="166">
        <v>0.99203187250996017</v>
      </c>
      <c r="H52" s="166">
        <v>0.67670682730923704</v>
      </c>
      <c r="I52" s="166">
        <v>0.2289156626506024</v>
      </c>
      <c r="J52" s="166">
        <v>9.4377510040160636E-2</v>
      </c>
      <c r="K52" s="72"/>
      <c r="L52" s="72"/>
      <c r="M52" s="86"/>
      <c r="N52" s="86"/>
      <c r="O52" s="307">
        <f>AVERAGE(O23:O50)</f>
        <v>0.17547054272649437</v>
      </c>
      <c r="P52" s="72"/>
      <c r="Q52" s="72"/>
      <c r="R52" s="73"/>
      <c r="S52" s="72"/>
      <c r="T52" s="72"/>
      <c r="U52" s="72"/>
      <c r="V52" s="72"/>
      <c r="W52" s="72"/>
      <c r="X52" s="72"/>
      <c r="Y52" s="72"/>
      <c r="Z52" s="72"/>
      <c r="AA52" s="72"/>
    </row>
    <row r="53" spans="1:27" ht="12.75" customHeight="1" x14ac:dyDescent="0.4">
      <c r="A53" s="73" t="s">
        <v>302</v>
      </c>
      <c r="B53" s="87">
        <v>500</v>
      </c>
      <c r="C53" s="87">
        <v>343</v>
      </c>
      <c r="D53" s="87">
        <v>105</v>
      </c>
      <c r="E53" s="87">
        <v>52</v>
      </c>
      <c r="F53" s="87"/>
      <c r="G53" s="166">
        <v>0.99601593625498008</v>
      </c>
      <c r="H53" s="166">
        <v>0.68600000000000005</v>
      </c>
      <c r="I53" s="166">
        <v>0.21</v>
      </c>
      <c r="J53" s="166">
        <v>0.104</v>
      </c>
      <c r="K53" s="72"/>
      <c r="L53" s="72"/>
      <c r="M53" s="86"/>
      <c r="N53" s="86"/>
      <c r="O53" s="86"/>
      <c r="P53" s="72"/>
      <c r="Q53" s="72"/>
      <c r="R53" s="73"/>
      <c r="S53" s="72"/>
      <c r="T53" s="72"/>
      <c r="U53" s="72"/>
      <c r="V53" s="72"/>
      <c r="W53" s="72"/>
      <c r="X53" s="72"/>
      <c r="Y53" s="72"/>
      <c r="Z53" s="72"/>
      <c r="AA53" s="72"/>
    </row>
    <row r="54" spans="1:27" s="72" customFormat="1" ht="13.5" customHeight="1" x14ac:dyDescent="0.5">
      <c r="A54" s="73" t="s">
        <v>239</v>
      </c>
      <c r="B54" s="87">
        <v>499</v>
      </c>
      <c r="C54" s="87">
        <v>368</v>
      </c>
      <c r="D54" s="87">
        <v>86</v>
      </c>
      <c r="E54" s="87">
        <v>45</v>
      </c>
      <c r="F54" s="87"/>
      <c r="G54" s="166">
        <v>0.99402390438247012</v>
      </c>
      <c r="H54" s="166">
        <v>0.73747494989979956</v>
      </c>
      <c r="I54" s="166">
        <v>0.17234468937875752</v>
      </c>
      <c r="J54" s="166">
        <v>9.0180360721442893E-2</v>
      </c>
      <c r="M54" s="86"/>
      <c r="N54" s="86"/>
      <c r="O54" s="86"/>
      <c r="R54" s="177"/>
      <c r="X54" s="73"/>
    </row>
    <row r="55" spans="1:27" ht="13.15" x14ac:dyDescent="0.4">
      <c r="A55" s="73" t="s">
        <v>240</v>
      </c>
      <c r="B55" s="87">
        <v>499</v>
      </c>
      <c r="C55" s="87">
        <v>328</v>
      </c>
      <c r="D55" s="87">
        <v>106</v>
      </c>
      <c r="E55" s="87">
        <v>65</v>
      </c>
      <c r="F55" s="87"/>
      <c r="G55" s="166">
        <v>0.99600798403193613</v>
      </c>
      <c r="H55" s="166">
        <v>0.65731462925851702</v>
      </c>
      <c r="I55" s="166">
        <v>0.21242484969939879</v>
      </c>
      <c r="J55" s="166">
        <v>0.13026052104208416</v>
      </c>
      <c r="K55" s="72"/>
      <c r="L55" s="72"/>
      <c r="M55" s="86"/>
      <c r="N55" s="86"/>
      <c r="O55" s="86"/>
      <c r="P55" s="72"/>
      <c r="Q55" s="72"/>
      <c r="R55" s="73"/>
      <c r="S55" s="72"/>
      <c r="T55" s="72"/>
      <c r="U55" s="72"/>
      <c r="V55" s="72"/>
      <c r="W55" s="72"/>
      <c r="X55" s="72"/>
      <c r="Y55" s="72"/>
      <c r="Z55" s="72"/>
      <c r="AA55" s="72"/>
    </row>
    <row r="56" spans="1:27" ht="13.15" x14ac:dyDescent="0.4">
      <c r="A56" s="73" t="s">
        <v>247</v>
      </c>
      <c r="B56" s="87">
        <v>499</v>
      </c>
      <c r="C56" s="87">
        <v>335</v>
      </c>
      <c r="D56" s="87">
        <v>113</v>
      </c>
      <c r="E56" s="87">
        <v>51</v>
      </c>
      <c r="F56" s="87"/>
      <c r="G56" s="166">
        <v>0.998</v>
      </c>
      <c r="H56" s="166">
        <v>0.67134268537074149</v>
      </c>
      <c r="I56" s="166">
        <v>0.22645290581162325</v>
      </c>
      <c r="J56" s="166">
        <v>0.10220440881763528</v>
      </c>
      <c r="K56" s="72"/>
      <c r="L56" s="72"/>
      <c r="M56" s="86"/>
      <c r="N56" s="86"/>
      <c r="O56" s="86"/>
      <c r="P56" s="72"/>
      <c r="Q56" s="72"/>
      <c r="R56" s="73"/>
      <c r="S56" s="72"/>
      <c r="T56" s="72"/>
      <c r="U56" s="72"/>
      <c r="V56" s="72"/>
      <c r="W56" s="72"/>
      <c r="X56" s="72"/>
      <c r="Y56" s="72"/>
      <c r="Z56" s="72"/>
      <c r="AA56" s="72"/>
    </row>
    <row r="57" spans="1:27" ht="13.15" x14ac:dyDescent="0.4">
      <c r="A57" s="73" t="s">
        <v>241</v>
      </c>
      <c r="B57" s="87">
        <v>499</v>
      </c>
      <c r="C57" s="86">
        <v>319</v>
      </c>
      <c r="D57" s="86">
        <v>126</v>
      </c>
      <c r="E57" s="87">
        <v>54</v>
      </c>
      <c r="F57" s="72"/>
      <c r="G57" s="75">
        <v>0.998</v>
      </c>
      <c r="H57" s="75">
        <v>0.63927855711422843</v>
      </c>
      <c r="I57" s="75">
        <v>0.25250501002004005</v>
      </c>
      <c r="J57" s="75">
        <v>0.10821643286573146</v>
      </c>
      <c r="K57" s="72"/>
      <c r="L57" s="72"/>
      <c r="M57" s="86"/>
      <c r="N57" s="86"/>
      <c r="O57" s="86"/>
      <c r="P57" s="72"/>
      <c r="Q57" s="72"/>
      <c r="R57" s="73"/>
      <c r="S57" s="72"/>
      <c r="T57" s="72"/>
      <c r="U57" s="72"/>
      <c r="V57" s="72"/>
      <c r="W57" s="72"/>
      <c r="X57" s="72"/>
      <c r="Y57" s="72"/>
      <c r="Z57" s="72"/>
      <c r="AA57" s="72"/>
    </row>
    <row r="58" spans="1:27" ht="12.75" customHeight="1" x14ac:dyDescent="0.4">
      <c r="A58" s="73" t="s">
        <v>303</v>
      </c>
      <c r="B58" s="87">
        <v>499</v>
      </c>
      <c r="C58" s="86">
        <v>330</v>
      </c>
      <c r="D58" s="86">
        <v>116</v>
      </c>
      <c r="E58" s="87">
        <v>53</v>
      </c>
      <c r="F58" s="72"/>
      <c r="G58" s="75">
        <v>0.998</v>
      </c>
      <c r="H58" s="75">
        <v>0.66132264529058116</v>
      </c>
      <c r="I58" s="75">
        <v>0.23246492985971945</v>
      </c>
      <c r="J58" s="75">
        <v>0.10621242484969939</v>
      </c>
      <c r="K58" s="72"/>
      <c r="L58" s="72"/>
      <c r="M58" s="86"/>
      <c r="N58" s="86"/>
      <c r="O58" s="86"/>
      <c r="P58" s="72"/>
      <c r="Q58" s="72"/>
      <c r="R58" s="73"/>
      <c r="S58" s="72"/>
      <c r="T58" s="72"/>
      <c r="U58" s="72"/>
      <c r="V58" s="72"/>
      <c r="W58" s="72"/>
      <c r="X58" s="72"/>
      <c r="Y58" s="72"/>
      <c r="Z58" s="72"/>
      <c r="AA58" s="72"/>
    </row>
    <row r="59" spans="1:27" ht="13.15" x14ac:dyDescent="0.4">
      <c r="A59" s="73" t="s">
        <v>242</v>
      </c>
      <c r="B59" s="87">
        <v>500</v>
      </c>
      <c r="C59" s="86">
        <v>327</v>
      </c>
      <c r="D59" s="86">
        <v>134</v>
      </c>
      <c r="E59" s="87">
        <v>39</v>
      </c>
      <c r="F59" s="72"/>
      <c r="G59" s="75">
        <v>1</v>
      </c>
      <c r="H59" s="75">
        <v>0.65400000000000003</v>
      </c>
      <c r="I59" s="75">
        <v>0.26800000000000002</v>
      </c>
      <c r="J59" s="75">
        <v>7.8E-2</v>
      </c>
      <c r="K59" s="72"/>
      <c r="L59" s="72"/>
      <c r="M59" s="86"/>
      <c r="N59" s="86"/>
      <c r="O59" s="86"/>
      <c r="P59" s="72"/>
      <c r="Q59" s="72"/>
      <c r="R59" s="73"/>
      <c r="S59" s="72"/>
      <c r="T59" s="72"/>
      <c r="U59" s="72"/>
      <c r="V59" s="72"/>
      <c r="W59" s="72"/>
      <c r="X59" s="72"/>
      <c r="Y59" s="72"/>
      <c r="Z59" s="72"/>
      <c r="AA59" s="72"/>
    </row>
    <row r="60" spans="1:27" ht="12.75" customHeight="1" x14ac:dyDescent="0.4">
      <c r="A60" s="73" t="s">
        <v>243</v>
      </c>
      <c r="B60" s="87">
        <v>499</v>
      </c>
      <c r="C60" s="86">
        <v>329</v>
      </c>
      <c r="D60" s="86">
        <v>129</v>
      </c>
      <c r="E60" s="87">
        <v>41</v>
      </c>
      <c r="F60" s="72"/>
      <c r="G60" s="75">
        <v>0.998</v>
      </c>
      <c r="H60" s="75">
        <v>0.65931863727454909</v>
      </c>
      <c r="I60" s="75">
        <v>0.25851703406813625</v>
      </c>
      <c r="J60" s="75">
        <v>8.2164328657314628E-2</v>
      </c>
      <c r="K60" s="72"/>
      <c r="L60" s="72"/>
      <c r="M60" s="87"/>
      <c r="N60" s="86"/>
      <c r="O60" s="86"/>
      <c r="P60" s="72"/>
      <c r="Q60" s="72"/>
      <c r="R60" s="73"/>
      <c r="S60" s="72"/>
      <c r="T60" s="72"/>
      <c r="U60" s="72"/>
      <c r="V60" s="72"/>
      <c r="W60" s="72"/>
      <c r="X60" s="72"/>
      <c r="Y60" s="72"/>
      <c r="Z60" s="72"/>
      <c r="AA60" s="72"/>
    </row>
    <row r="61" spans="1:27" ht="13.15" x14ac:dyDescent="0.4">
      <c r="A61" s="73" t="s">
        <v>246</v>
      </c>
      <c r="B61" s="87">
        <v>500</v>
      </c>
      <c r="C61" s="86">
        <v>324</v>
      </c>
      <c r="D61" s="86">
        <v>124</v>
      </c>
      <c r="E61" s="87">
        <v>52</v>
      </c>
      <c r="F61" s="72"/>
      <c r="G61" s="75">
        <v>1</v>
      </c>
      <c r="H61" s="75">
        <v>0.64800000000000002</v>
      </c>
      <c r="I61" s="75">
        <v>0.248</v>
      </c>
      <c r="J61" s="75">
        <v>0.104</v>
      </c>
      <c r="K61" s="72"/>
      <c r="L61" s="72"/>
      <c r="M61" s="87"/>
      <c r="N61" s="86"/>
      <c r="O61" s="86"/>
      <c r="P61" s="72"/>
      <c r="Q61" s="72"/>
      <c r="R61" s="73"/>
      <c r="S61" s="72"/>
      <c r="T61" s="72"/>
      <c r="U61" s="72"/>
      <c r="V61" s="72"/>
      <c r="W61" s="72"/>
      <c r="X61" s="72"/>
      <c r="Y61" s="72"/>
      <c r="Z61" s="72"/>
      <c r="AA61" s="72"/>
    </row>
    <row r="62" spans="1:27" ht="15" x14ac:dyDescent="0.4">
      <c r="A62" s="73" t="s">
        <v>245</v>
      </c>
      <c r="B62" s="87">
        <v>493</v>
      </c>
      <c r="C62" s="86">
        <v>312</v>
      </c>
      <c r="D62" s="86">
        <v>117</v>
      </c>
      <c r="E62" s="87">
        <v>64</v>
      </c>
      <c r="F62" s="72"/>
      <c r="G62" s="75">
        <v>0.98599999999999999</v>
      </c>
      <c r="H62" s="75">
        <v>0.63286004056795131</v>
      </c>
      <c r="I62" s="75">
        <v>0.23732251521298176</v>
      </c>
      <c r="J62" s="75">
        <v>0.12981744421906694</v>
      </c>
      <c r="K62" s="72"/>
      <c r="L62" s="72"/>
      <c r="M62" s="6"/>
      <c r="N62" s="6"/>
      <c r="O62" s="113"/>
      <c r="P62" s="72"/>
      <c r="Q62" s="72"/>
      <c r="R62" s="73"/>
      <c r="S62" s="72"/>
      <c r="T62" s="72"/>
      <c r="U62" s="72"/>
      <c r="V62" s="72"/>
      <c r="W62" s="72"/>
      <c r="X62" s="72"/>
      <c r="Y62" s="72"/>
      <c r="Z62" s="72"/>
      <c r="AA62" s="72"/>
    </row>
    <row r="63" spans="1:27" s="72" customFormat="1" ht="13.5" customHeight="1" x14ac:dyDescent="0.4">
      <c r="A63" s="73" t="s">
        <v>242</v>
      </c>
      <c r="B63" s="87">
        <v>499</v>
      </c>
      <c r="C63" s="86">
        <v>322</v>
      </c>
      <c r="D63" s="86">
        <v>123</v>
      </c>
      <c r="E63" s="87">
        <v>54</v>
      </c>
      <c r="G63" s="75">
        <v>0.998</v>
      </c>
      <c r="H63" s="75">
        <v>0.64529058116232463</v>
      </c>
      <c r="I63" s="75">
        <v>0.24649298597194388</v>
      </c>
      <c r="J63" s="75">
        <v>0.10821643286573146</v>
      </c>
      <c r="M63" s="6"/>
      <c r="N63" s="6"/>
      <c r="O63" s="113"/>
    </row>
    <row r="64" spans="1:27" ht="13.15" x14ac:dyDescent="0.4">
      <c r="A64" s="73" t="s">
        <v>304</v>
      </c>
      <c r="B64" s="87">
        <f>AVERAGE(B25:B63)</f>
        <v>499.33333333333331</v>
      </c>
      <c r="C64" s="87">
        <f>AVERAGE(C25:C63)</f>
        <v>359.25641025641028</v>
      </c>
      <c r="D64" s="87">
        <f>AVERAGE(D25:D63)</f>
        <v>101.28205128205128</v>
      </c>
      <c r="E64" s="87">
        <f>AVERAGE(E25:E63)</f>
        <v>38.794871794871796</v>
      </c>
      <c r="F64" s="72"/>
      <c r="G64" s="75">
        <f>AVERAGE(G25:G63)</f>
        <v>0.99201303864521406</v>
      </c>
      <c r="H64" s="75">
        <f>AVERAGE(H25:H63)</f>
        <v>0.71942531306521407</v>
      </c>
      <c r="I64" s="75">
        <f>AVERAGE(I25:I63)</f>
        <v>0.20284787053124165</v>
      </c>
      <c r="J64" s="75">
        <f>AVERAGE(J25:J63)</f>
        <v>7.7726816403544216E-2</v>
      </c>
      <c r="K64" s="72"/>
      <c r="L64" s="72"/>
      <c r="M64" s="142"/>
      <c r="N64" s="142"/>
      <c r="O64" s="142"/>
      <c r="P64" s="72"/>
      <c r="Q64" s="72"/>
      <c r="R64" s="73"/>
      <c r="S64" s="72"/>
      <c r="T64" s="72"/>
      <c r="U64" s="72"/>
      <c r="V64" s="72"/>
      <c r="W64" s="72"/>
      <c r="X64" s="72"/>
      <c r="Y64" s="72"/>
      <c r="Z64" s="72"/>
      <c r="AA64" s="72"/>
    </row>
    <row r="65" spans="1:27" ht="12.75" customHeight="1" x14ac:dyDescent="0.4">
      <c r="A65" s="73"/>
      <c r="B65" s="87"/>
      <c r="C65" s="87"/>
      <c r="D65" s="87"/>
      <c r="E65" s="87"/>
      <c r="F65" s="72"/>
      <c r="G65" s="75"/>
      <c r="H65" s="75"/>
      <c r="I65" s="75"/>
      <c r="J65" s="75"/>
      <c r="K65" s="72"/>
      <c r="L65" s="72"/>
      <c r="M65" s="6"/>
      <c r="N65" s="6"/>
      <c r="O65" s="6"/>
      <c r="P65" s="72"/>
      <c r="Q65" s="72"/>
      <c r="R65" s="73"/>
      <c r="S65" s="72"/>
      <c r="T65" s="72"/>
      <c r="U65" s="72"/>
      <c r="V65" s="72"/>
      <c r="W65" s="72"/>
      <c r="X65" s="72"/>
      <c r="Y65" s="72"/>
      <c r="Z65" s="72"/>
      <c r="AA65" s="72"/>
    </row>
    <row r="66" spans="1:27" ht="12.75" customHeight="1" x14ac:dyDescent="0.4">
      <c r="A66" s="276"/>
      <c r="B66" s="72"/>
      <c r="C66" s="72"/>
      <c r="D66" s="72"/>
      <c r="E66" s="72"/>
      <c r="F66" s="72"/>
      <c r="G66" s="73"/>
      <c r="H66" s="72"/>
      <c r="I66" s="72"/>
      <c r="J66" s="72"/>
      <c r="K66" s="72"/>
      <c r="L66" s="72"/>
      <c r="M66" s="6"/>
      <c r="N66" s="6"/>
      <c r="O66" s="6"/>
      <c r="P66" s="72"/>
      <c r="Q66" s="72"/>
      <c r="R66" s="73"/>
      <c r="S66" s="72"/>
      <c r="T66" s="72"/>
      <c r="U66" s="72"/>
      <c r="V66" s="72"/>
      <c r="W66" s="72"/>
      <c r="X66" s="72"/>
      <c r="Y66" s="72"/>
      <c r="Z66" s="72"/>
      <c r="AA66" s="72"/>
    </row>
    <row r="67" spans="1:27" ht="13.15" x14ac:dyDescent="0.4">
      <c r="A67" s="73" t="s">
        <v>571</v>
      </c>
      <c r="B67" s="72"/>
      <c r="C67" s="72"/>
      <c r="D67" s="72"/>
      <c r="E67" s="72"/>
      <c r="F67" s="72"/>
      <c r="G67" s="72"/>
      <c r="H67" s="72"/>
      <c r="I67" s="72"/>
      <c r="J67" s="72"/>
      <c r="K67" s="72"/>
      <c r="L67" s="72"/>
      <c r="M67" s="6"/>
      <c r="N67" s="6"/>
      <c r="O67" s="6"/>
      <c r="P67" s="72"/>
      <c r="Q67" s="72"/>
      <c r="R67" s="73"/>
      <c r="S67" s="72"/>
      <c r="T67" s="72"/>
      <c r="U67" s="72"/>
      <c r="V67" s="72"/>
      <c r="W67" s="72"/>
      <c r="X67" s="72"/>
      <c r="Y67" s="72"/>
      <c r="Z67" s="72"/>
      <c r="AA67" s="72"/>
    </row>
    <row r="68" spans="1:27" ht="12.75" customHeight="1" x14ac:dyDescent="0.4">
      <c r="A68" s="73" t="s">
        <v>373</v>
      </c>
      <c r="B68" s="72"/>
      <c r="C68" s="72"/>
      <c r="D68" s="72"/>
      <c r="E68" s="72"/>
      <c r="F68" s="72"/>
      <c r="G68" s="72"/>
      <c r="H68" s="72"/>
      <c r="I68" s="72"/>
      <c r="J68" s="72"/>
      <c r="K68" s="72"/>
      <c r="L68" s="72"/>
      <c r="M68" s="6"/>
      <c r="N68" s="6"/>
      <c r="O68" s="6"/>
      <c r="P68" s="72"/>
      <c r="Q68" s="72"/>
      <c r="R68" s="73"/>
      <c r="S68" s="72"/>
      <c r="T68" s="72"/>
      <c r="U68" s="72"/>
      <c r="V68" s="72"/>
      <c r="W68" s="72"/>
      <c r="X68" s="72"/>
      <c r="Y68" s="72"/>
      <c r="Z68" s="72"/>
      <c r="AA68" s="72"/>
    </row>
    <row r="69" spans="1:27" ht="12.75" customHeight="1" x14ac:dyDescent="0.4">
      <c r="A69" s="73" t="s">
        <v>601</v>
      </c>
      <c r="B69" s="72"/>
      <c r="C69" s="72"/>
      <c r="D69" s="72"/>
      <c r="E69" s="72"/>
      <c r="F69" s="72"/>
      <c r="G69" s="72"/>
      <c r="H69" s="72"/>
      <c r="I69" s="72"/>
      <c r="J69" s="72"/>
      <c r="K69" s="72"/>
      <c r="L69" s="72"/>
      <c r="M69" s="6"/>
      <c r="N69" s="6"/>
      <c r="O69" s="6"/>
      <c r="P69" s="72"/>
      <c r="Q69" s="72"/>
      <c r="R69" s="73"/>
      <c r="S69" s="72"/>
      <c r="T69" s="72"/>
      <c r="U69" s="72"/>
      <c r="V69" s="72"/>
      <c r="W69" s="72"/>
      <c r="X69" s="72"/>
      <c r="Y69" s="72"/>
      <c r="Z69" s="72"/>
      <c r="AA69" s="72"/>
    </row>
    <row r="70" spans="1:27" ht="12.75" customHeight="1" x14ac:dyDescent="0.4">
      <c r="A70" s="73"/>
      <c r="B70" s="72" t="s">
        <v>141</v>
      </c>
      <c r="C70" s="72"/>
      <c r="D70" s="72"/>
      <c r="E70" s="72"/>
      <c r="F70" s="86"/>
      <c r="G70" s="72" t="s">
        <v>148</v>
      </c>
      <c r="H70" s="72"/>
      <c r="I70" s="72"/>
      <c r="J70" s="72"/>
      <c r="K70" s="72"/>
      <c r="L70" s="74"/>
      <c r="M70" s="6" t="s">
        <v>571</v>
      </c>
      <c r="N70" s="6"/>
      <c r="O70" s="6"/>
      <c r="R70" s="73"/>
      <c r="S70" s="72"/>
      <c r="T70" s="72"/>
      <c r="U70" s="72"/>
      <c r="V70" s="72"/>
      <c r="W70" s="86"/>
      <c r="X70" s="72"/>
      <c r="Y70" s="72"/>
      <c r="Z70" s="72"/>
      <c r="AA70" s="72"/>
    </row>
    <row r="71" spans="1:27" ht="12.75" customHeight="1" x14ac:dyDescent="0.4">
      <c r="A71" s="73" t="s">
        <v>137</v>
      </c>
      <c r="B71" s="74" t="s">
        <v>113</v>
      </c>
      <c r="C71" s="74" t="s">
        <v>114</v>
      </c>
      <c r="D71" s="74" t="s">
        <v>115</v>
      </c>
      <c r="E71" s="74" t="s">
        <v>116</v>
      </c>
      <c r="F71" s="86"/>
      <c r="G71" s="74" t="s">
        <v>113</v>
      </c>
      <c r="H71" s="74" t="s">
        <v>114</v>
      </c>
      <c r="I71" s="74" t="s">
        <v>115</v>
      </c>
      <c r="J71" s="74" t="s">
        <v>116</v>
      </c>
      <c r="K71" s="74"/>
      <c r="L71" s="75"/>
      <c r="M71" s="6" t="s">
        <v>572</v>
      </c>
      <c r="N71" s="139"/>
      <c r="O71" s="140"/>
      <c r="R71" s="73"/>
      <c r="S71" s="74"/>
      <c r="T71" s="74"/>
      <c r="U71" s="74"/>
      <c r="V71" s="74"/>
      <c r="W71" s="86"/>
      <c r="X71" s="74"/>
      <c r="Y71" s="74"/>
      <c r="Z71" s="74"/>
      <c r="AA71" s="74"/>
    </row>
    <row r="72" spans="1:27" ht="12.75" customHeight="1" x14ac:dyDescent="0.4">
      <c r="A72" s="73" t="s">
        <v>128</v>
      </c>
      <c r="B72" s="87">
        <v>21</v>
      </c>
      <c r="C72" s="87">
        <v>15</v>
      </c>
      <c r="D72" s="87">
        <v>6</v>
      </c>
      <c r="E72" s="87">
        <v>0</v>
      </c>
      <c r="F72" s="86"/>
      <c r="G72" s="75">
        <v>1</v>
      </c>
      <c r="H72" s="75">
        <v>0.7142857142857143</v>
      </c>
      <c r="I72" s="75">
        <v>0.2857142857142857</v>
      </c>
      <c r="J72" s="75">
        <v>0</v>
      </c>
      <c r="K72" s="75"/>
      <c r="L72" s="75"/>
      <c r="M72" s="6" t="s">
        <v>448</v>
      </c>
      <c r="N72" s="6"/>
      <c r="O72" s="6"/>
      <c r="R72" s="73"/>
      <c r="S72" s="86"/>
      <c r="T72" s="86"/>
      <c r="U72" s="86"/>
      <c r="V72" s="86"/>
      <c r="W72" s="86"/>
      <c r="X72" s="75"/>
      <c r="Y72" s="75"/>
      <c r="Z72" s="75"/>
      <c r="AA72" s="75"/>
    </row>
    <row r="73" spans="1:27" ht="12.75" customHeight="1" x14ac:dyDescent="0.4">
      <c r="A73" s="73" t="s">
        <v>129</v>
      </c>
      <c r="B73" s="87">
        <v>28</v>
      </c>
      <c r="C73" s="87">
        <v>18</v>
      </c>
      <c r="D73" s="87">
        <v>9</v>
      </c>
      <c r="E73" s="87">
        <v>1</v>
      </c>
      <c r="F73" s="86"/>
      <c r="G73" s="75">
        <v>1</v>
      </c>
      <c r="H73" s="75">
        <v>0.6428571428571429</v>
      </c>
      <c r="I73" s="75">
        <v>0.32142857142857145</v>
      </c>
      <c r="J73" s="75">
        <v>3.5714285714285712E-2</v>
      </c>
      <c r="K73" s="75"/>
      <c r="L73" s="75"/>
      <c r="M73" s="6" t="s">
        <v>205</v>
      </c>
      <c r="N73" s="76">
        <v>497</v>
      </c>
      <c r="O73" s="141" t="s">
        <v>206</v>
      </c>
      <c r="P73" s="163"/>
      <c r="R73" s="73"/>
      <c r="S73" s="86"/>
      <c r="T73" s="86"/>
      <c r="U73" s="86"/>
      <c r="V73" s="86"/>
      <c r="W73" s="86"/>
      <c r="X73" s="75"/>
      <c r="Y73" s="75"/>
      <c r="Z73" s="75"/>
      <c r="AA73" s="75"/>
    </row>
    <row r="74" spans="1:27" ht="12.75" customHeight="1" x14ac:dyDescent="0.4">
      <c r="A74" s="73" t="s">
        <v>130</v>
      </c>
      <c r="B74" s="87">
        <v>71</v>
      </c>
      <c r="C74" s="87">
        <v>58</v>
      </c>
      <c r="D74" s="87">
        <v>11</v>
      </c>
      <c r="E74" s="87">
        <v>2</v>
      </c>
      <c r="F74" s="86"/>
      <c r="G74" s="75">
        <v>0.98611111111111116</v>
      </c>
      <c r="H74" s="75">
        <v>0.81690140845070425</v>
      </c>
      <c r="I74" s="75">
        <v>0.15492957746478872</v>
      </c>
      <c r="J74" s="75">
        <v>2.8169014084507043E-2</v>
      </c>
      <c r="K74" s="75"/>
      <c r="L74" s="75"/>
      <c r="M74" s="6" t="s">
        <v>573</v>
      </c>
      <c r="N74" s="139">
        <v>259</v>
      </c>
      <c r="O74" s="140">
        <v>0.52112676056338025</v>
      </c>
      <c r="P74" s="163"/>
      <c r="Q74" s="140"/>
      <c r="R74" s="73"/>
      <c r="S74" s="86"/>
      <c r="T74" s="86"/>
      <c r="U74" s="86"/>
      <c r="V74" s="86"/>
      <c r="W74" s="86"/>
      <c r="X74" s="75"/>
      <c r="Y74" s="75"/>
      <c r="Z74" s="75"/>
      <c r="AA74" s="75"/>
    </row>
    <row r="75" spans="1:27" ht="12.75" customHeight="1" x14ac:dyDescent="0.4">
      <c r="A75" s="73" t="s">
        <v>131</v>
      </c>
      <c r="B75" s="87">
        <v>61</v>
      </c>
      <c r="C75" s="87">
        <v>45</v>
      </c>
      <c r="D75" s="87">
        <v>14</v>
      </c>
      <c r="E75" s="87">
        <v>2</v>
      </c>
      <c r="F75" s="86"/>
      <c r="G75" s="75">
        <v>1</v>
      </c>
      <c r="H75" s="75">
        <v>0.73770491803278693</v>
      </c>
      <c r="I75" s="75">
        <v>0.22950819672131148</v>
      </c>
      <c r="J75" s="75">
        <v>3.2786885245901641E-2</v>
      </c>
      <c r="K75" s="75"/>
      <c r="L75" s="75"/>
      <c r="M75" s="6" t="s">
        <v>230</v>
      </c>
      <c r="N75" s="139">
        <v>74</v>
      </c>
      <c r="O75" s="140">
        <v>0.1488933601609658</v>
      </c>
      <c r="P75" s="232"/>
      <c r="Q75" s="140"/>
      <c r="R75" s="73"/>
      <c r="S75" s="86"/>
      <c r="T75" s="86"/>
      <c r="U75" s="86"/>
      <c r="V75" s="86"/>
      <c r="W75" s="86"/>
      <c r="X75" s="75"/>
      <c r="Y75" s="75"/>
      <c r="Z75" s="75"/>
      <c r="AA75" s="75"/>
    </row>
    <row r="76" spans="1:27" ht="12.75" customHeight="1" x14ac:dyDescent="0.4">
      <c r="A76" s="73" t="s">
        <v>132</v>
      </c>
      <c r="B76" s="87">
        <v>32</v>
      </c>
      <c r="C76" s="87">
        <v>22</v>
      </c>
      <c r="D76" s="87">
        <v>8</v>
      </c>
      <c r="E76" s="87">
        <v>2</v>
      </c>
      <c r="F76" s="86"/>
      <c r="G76" s="75">
        <v>1</v>
      </c>
      <c r="H76" s="75">
        <v>0.6875</v>
      </c>
      <c r="I76" s="75">
        <v>0.25</v>
      </c>
      <c r="J76" s="75">
        <v>6.25E-2</v>
      </c>
      <c r="K76" s="75"/>
      <c r="L76" s="75"/>
      <c r="M76" s="6" t="s">
        <v>574</v>
      </c>
      <c r="N76" s="139">
        <v>223</v>
      </c>
      <c r="O76" s="140">
        <v>0.44869215291750503</v>
      </c>
      <c r="P76" s="163"/>
      <c r="Q76" s="140"/>
      <c r="R76" s="73"/>
      <c r="S76" s="86"/>
      <c r="T76" s="86"/>
      <c r="U76" s="86"/>
      <c r="V76" s="86"/>
      <c r="W76" s="86"/>
      <c r="X76" s="75"/>
      <c r="Y76" s="75"/>
      <c r="Z76" s="75"/>
      <c r="AA76" s="75"/>
    </row>
    <row r="77" spans="1:27" s="53" customFormat="1" ht="12.75" customHeight="1" x14ac:dyDescent="0.4">
      <c r="A77" s="73" t="s">
        <v>133</v>
      </c>
      <c r="B77" s="87">
        <v>64</v>
      </c>
      <c r="C77" s="87">
        <v>51</v>
      </c>
      <c r="D77" s="87">
        <v>10</v>
      </c>
      <c r="E77" s="87">
        <v>3</v>
      </c>
      <c r="F77" s="86"/>
      <c r="G77" s="75">
        <v>1</v>
      </c>
      <c r="H77" s="75">
        <v>0.796875</v>
      </c>
      <c r="I77" s="75">
        <v>0.15625</v>
      </c>
      <c r="J77" s="75">
        <v>4.6875E-2</v>
      </c>
      <c r="K77" s="75"/>
      <c r="L77" s="75"/>
      <c r="M77" s="6" t="s">
        <v>231</v>
      </c>
      <c r="N77" s="139">
        <v>50</v>
      </c>
      <c r="O77" s="140">
        <v>0.1006036217303823</v>
      </c>
      <c r="P77" s="163"/>
      <c r="Q77" s="140"/>
      <c r="R77" s="73"/>
      <c r="S77" s="86"/>
      <c r="T77" s="86"/>
      <c r="U77" s="86"/>
      <c r="V77" s="86"/>
      <c r="W77" s="86"/>
      <c r="X77" s="75"/>
      <c r="Y77" s="75"/>
      <c r="Z77" s="75"/>
      <c r="AA77" s="75"/>
    </row>
    <row r="78" spans="1:27" s="53" customFormat="1" ht="12.75" customHeight="1" x14ac:dyDescent="0.4">
      <c r="A78" s="73" t="s">
        <v>134</v>
      </c>
      <c r="B78" s="87">
        <v>65</v>
      </c>
      <c r="C78" s="87">
        <v>50</v>
      </c>
      <c r="D78" s="87">
        <v>14</v>
      </c>
      <c r="E78" s="87">
        <v>1</v>
      </c>
      <c r="F78" s="87"/>
      <c r="G78" s="75">
        <v>0.97014925373134331</v>
      </c>
      <c r="H78" s="75">
        <v>0.76923076923076927</v>
      </c>
      <c r="I78" s="75">
        <v>0.2153846153846154</v>
      </c>
      <c r="J78" s="75">
        <v>1.5384615384615385E-2</v>
      </c>
      <c r="K78" s="75"/>
      <c r="L78" s="75"/>
      <c r="M78" s="6"/>
      <c r="N78" s="139"/>
      <c r="O78" s="140"/>
      <c r="P78"/>
      <c r="Q78"/>
      <c r="R78" s="73"/>
      <c r="S78" s="86"/>
      <c r="T78" s="86"/>
      <c r="U78" s="86"/>
      <c r="V78" s="86"/>
      <c r="W78" s="87"/>
      <c r="X78" s="75"/>
      <c r="Y78" s="75"/>
      <c r="Z78" s="75"/>
      <c r="AA78" s="75"/>
    </row>
    <row r="79" spans="1:27" s="53" customFormat="1" ht="12.75" customHeight="1" x14ac:dyDescent="0.4">
      <c r="A79" s="73" t="s">
        <v>135</v>
      </c>
      <c r="B79" s="87">
        <v>76</v>
      </c>
      <c r="C79" s="87">
        <v>68</v>
      </c>
      <c r="D79" s="87">
        <v>5</v>
      </c>
      <c r="E79" s="87">
        <v>3</v>
      </c>
      <c r="F79" s="87"/>
      <c r="G79" s="75">
        <v>1</v>
      </c>
      <c r="H79" s="75">
        <v>0.89473684210526316</v>
      </c>
      <c r="I79" s="75">
        <v>6.5789473684210523E-2</v>
      </c>
      <c r="J79" s="75">
        <v>3.9473684210526314E-2</v>
      </c>
      <c r="K79" s="75"/>
      <c r="L79" s="75"/>
      <c r="M79" s="6" t="s">
        <v>575</v>
      </c>
      <c r="N79" s="138" t="s">
        <v>441</v>
      </c>
      <c r="O79" s="141" t="s">
        <v>206</v>
      </c>
      <c r="P79"/>
      <c r="Q79"/>
      <c r="R79" s="73"/>
      <c r="S79" s="86"/>
      <c r="T79" s="86"/>
      <c r="U79" s="86"/>
      <c r="V79" s="86"/>
      <c r="W79" s="87"/>
      <c r="X79" s="75"/>
      <c r="Y79" s="75"/>
      <c r="Z79" s="75"/>
      <c r="AA79" s="75"/>
    </row>
    <row r="80" spans="1:27" s="53" customFormat="1" ht="12.75" customHeight="1" x14ac:dyDescent="0.4">
      <c r="A80" s="73" t="s">
        <v>382</v>
      </c>
      <c r="B80" s="87">
        <v>25</v>
      </c>
      <c r="C80" s="87">
        <v>14</v>
      </c>
      <c r="D80" s="87">
        <v>9</v>
      </c>
      <c r="E80" s="87">
        <v>2</v>
      </c>
      <c r="F80" s="87"/>
      <c r="G80" s="75">
        <v>0.92592592592592593</v>
      </c>
      <c r="H80" s="75">
        <v>0.56000000000000005</v>
      </c>
      <c r="I80" s="75">
        <v>0.36</v>
      </c>
      <c r="J80" s="75">
        <v>0.08</v>
      </c>
      <c r="K80" s="75"/>
      <c r="L80" s="75"/>
      <c r="M80" s="6" t="s">
        <v>576</v>
      </c>
      <c r="N80" s="241">
        <v>62</v>
      </c>
      <c r="O80" s="140">
        <v>0.12474849094567404</v>
      </c>
      <c r="P80"/>
      <c r="Q80"/>
      <c r="R80" s="73"/>
      <c r="S80" s="86"/>
      <c r="T80" s="86"/>
      <c r="U80" s="86"/>
      <c r="V80" s="86"/>
      <c r="W80" s="87"/>
      <c r="X80" s="75"/>
      <c r="Y80" s="75"/>
      <c r="Z80" s="75"/>
      <c r="AA80" s="75"/>
    </row>
    <row r="81" spans="1:27" ht="12.75" customHeight="1" x14ac:dyDescent="0.4">
      <c r="A81" s="73" t="s">
        <v>136</v>
      </c>
      <c r="B81" s="87">
        <v>28</v>
      </c>
      <c r="C81" s="87">
        <v>19</v>
      </c>
      <c r="D81" s="87">
        <v>7</v>
      </c>
      <c r="E81" s="87">
        <v>2</v>
      </c>
      <c r="F81" s="87"/>
      <c r="G81" s="75">
        <v>1</v>
      </c>
      <c r="H81" s="75">
        <v>0.6785714285714286</v>
      </c>
      <c r="I81" s="75">
        <v>0.25</v>
      </c>
      <c r="J81" s="75">
        <v>7.1428571428571425E-2</v>
      </c>
      <c r="K81" s="75"/>
      <c r="L81" s="75"/>
      <c r="M81" s="6"/>
      <c r="N81" s="139"/>
      <c r="O81" s="140"/>
      <c r="R81" s="73"/>
      <c r="S81" s="86"/>
      <c r="T81" s="86"/>
      <c r="U81" s="86"/>
      <c r="V81" s="86"/>
      <c r="W81" s="87"/>
      <c r="X81" s="75"/>
      <c r="Y81" s="75"/>
      <c r="Z81" s="75"/>
      <c r="AA81" s="75"/>
    </row>
    <row r="82" spans="1:27" ht="12.75" customHeight="1" x14ac:dyDescent="0.4">
      <c r="A82" s="73" t="s">
        <v>308</v>
      </c>
      <c r="B82" s="87">
        <v>29</v>
      </c>
      <c r="C82" s="87">
        <v>18</v>
      </c>
      <c r="D82" s="87">
        <v>9</v>
      </c>
      <c r="E82" s="87">
        <v>2</v>
      </c>
      <c r="F82" s="87"/>
      <c r="G82" s="75">
        <v>1</v>
      </c>
      <c r="H82" s="75">
        <v>0.62068965517241381</v>
      </c>
      <c r="I82" s="75">
        <v>0.31034482758620691</v>
      </c>
      <c r="J82" s="75">
        <v>6.8965517241379309E-2</v>
      </c>
      <c r="K82" s="75"/>
      <c r="L82" s="75"/>
      <c r="M82" s="6"/>
      <c r="N82" s="139"/>
      <c r="O82" s="140"/>
      <c r="R82" s="73"/>
      <c r="S82" s="86"/>
      <c r="T82" s="86"/>
      <c r="U82" s="86"/>
      <c r="V82" s="86"/>
      <c r="W82" s="87"/>
      <c r="X82" s="75"/>
      <c r="Y82" s="75"/>
      <c r="Z82" s="75"/>
      <c r="AA82" s="75"/>
    </row>
    <row r="83" spans="1:27" ht="12.75" customHeight="1" x14ac:dyDescent="0.4">
      <c r="A83" s="73" t="s">
        <v>24</v>
      </c>
      <c r="B83" s="87">
        <v>500</v>
      </c>
      <c r="C83" s="87">
        <v>378</v>
      </c>
      <c r="D83" s="87">
        <v>102</v>
      </c>
      <c r="E83" s="87">
        <v>20</v>
      </c>
      <c r="F83" s="72"/>
      <c r="G83" s="75">
        <v>0.99009900990099009</v>
      </c>
      <c r="H83" s="75">
        <v>0.75600000000000001</v>
      </c>
      <c r="I83" s="75">
        <v>0.20399999999999999</v>
      </c>
      <c r="J83" s="75">
        <v>0.04</v>
      </c>
      <c r="K83" s="75"/>
      <c r="L83" s="75"/>
      <c r="M83" s="6"/>
      <c r="N83" s="75"/>
      <c r="O83" s="75"/>
      <c r="P83" s="92"/>
      <c r="R83" s="73"/>
      <c r="S83" s="87"/>
      <c r="T83" s="86"/>
      <c r="U83" s="86"/>
      <c r="V83" s="87"/>
      <c r="W83" s="72"/>
      <c r="X83" s="75"/>
      <c r="Y83" s="75"/>
      <c r="Z83" s="75"/>
      <c r="AA83" s="75"/>
    </row>
    <row r="84" spans="1:27" ht="12.75" customHeight="1" x14ac:dyDescent="0.4">
      <c r="A84" s="73"/>
      <c r="B84" s="87"/>
      <c r="C84" s="86"/>
      <c r="D84" s="86"/>
      <c r="E84" s="87"/>
      <c r="F84" s="72"/>
      <c r="G84" s="75"/>
      <c r="H84" s="75"/>
      <c r="I84" s="75"/>
      <c r="J84" s="75"/>
      <c r="K84" s="75"/>
      <c r="L84" s="75"/>
      <c r="M84" s="6"/>
      <c r="N84" s="75"/>
      <c r="O84" s="75"/>
      <c r="S84" s="53"/>
    </row>
    <row r="85" spans="1:27" ht="12.75" customHeight="1" x14ac:dyDescent="0.4">
      <c r="A85" s="73"/>
      <c r="B85" s="87"/>
      <c r="C85" s="86"/>
      <c r="D85" s="86"/>
      <c r="E85" s="87"/>
      <c r="F85" s="72"/>
      <c r="G85" s="75"/>
      <c r="H85" s="75"/>
      <c r="I85" s="75"/>
      <c r="J85" s="75"/>
      <c r="K85" s="75"/>
      <c r="L85" s="75"/>
      <c r="M85" s="73"/>
      <c r="N85" s="168"/>
      <c r="O85" s="75"/>
      <c r="S85" s="53"/>
    </row>
    <row r="86" spans="1:27" ht="13.15" x14ac:dyDescent="0.4">
      <c r="A86" s="73" t="s">
        <v>556</v>
      </c>
      <c r="B86" s="72"/>
      <c r="C86" s="72"/>
      <c r="D86" s="72"/>
      <c r="E86" s="72"/>
      <c r="F86" s="72"/>
      <c r="G86" s="72"/>
      <c r="H86" s="72"/>
      <c r="I86" s="72"/>
      <c r="J86" s="72"/>
      <c r="K86" s="72"/>
      <c r="L86" s="72"/>
      <c r="M86" s="6"/>
      <c r="N86" s="6"/>
      <c r="O86" s="6"/>
      <c r="P86" s="72"/>
      <c r="Q86" s="72"/>
      <c r="R86" s="73"/>
      <c r="S86" s="72"/>
      <c r="T86" s="72"/>
      <c r="U86" s="72"/>
      <c r="V86" s="72"/>
      <c r="W86" s="72"/>
      <c r="X86" s="72"/>
      <c r="Y86" s="72"/>
      <c r="Z86" s="72"/>
      <c r="AA86" s="72"/>
    </row>
    <row r="87" spans="1:27" ht="12.75" customHeight="1" x14ac:dyDescent="0.4">
      <c r="A87" s="73" t="s">
        <v>566</v>
      </c>
      <c r="B87" s="72"/>
      <c r="C87" s="72"/>
      <c r="D87" s="72"/>
      <c r="E87" s="72"/>
      <c r="F87" s="72"/>
      <c r="G87" s="72"/>
      <c r="H87" s="72"/>
      <c r="I87" s="72"/>
      <c r="J87" s="72"/>
      <c r="K87" s="72"/>
      <c r="L87" s="72"/>
      <c r="M87" s="6"/>
      <c r="N87" s="6"/>
      <c r="O87" s="6"/>
      <c r="P87" s="72"/>
      <c r="Q87" s="72"/>
      <c r="R87" s="73"/>
      <c r="S87" s="72"/>
      <c r="T87" s="72"/>
      <c r="U87" s="72"/>
      <c r="V87" s="72"/>
      <c r="W87" s="72"/>
      <c r="X87" s="72"/>
      <c r="Y87" s="72"/>
      <c r="Z87" s="72"/>
      <c r="AA87" s="72"/>
    </row>
    <row r="88" spans="1:27" ht="12.75" customHeight="1" x14ac:dyDescent="0.4">
      <c r="A88" s="73" t="s">
        <v>567</v>
      </c>
      <c r="B88" s="72"/>
      <c r="C88" s="72"/>
      <c r="D88" s="72"/>
      <c r="E88" s="72"/>
      <c r="F88" s="72"/>
      <c r="G88" s="72"/>
      <c r="H88" s="72"/>
      <c r="I88" s="72"/>
      <c r="J88" s="72"/>
      <c r="K88" s="72"/>
      <c r="L88" s="72"/>
      <c r="M88" s="6"/>
      <c r="N88" s="6"/>
      <c r="O88" s="6"/>
      <c r="P88" s="72"/>
      <c r="Q88" s="72"/>
      <c r="R88" s="73"/>
      <c r="S88" s="72"/>
      <c r="T88" s="72"/>
      <c r="U88" s="72"/>
      <c r="V88" s="72"/>
      <c r="W88" s="72"/>
      <c r="X88" s="72"/>
      <c r="Y88" s="72"/>
      <c r="Z88" s="72"/>
      <c r="AA88" s="72"/>
    </row>
    <row r="89" spans="1:27" ht="12.75" customHeight="1" x14ac:dyDescent="0.4">
      <c r="A89" s="73"/>
      <c r="B89" s="72" t="s">
        <v>141</v>
      </c>
      <c r="C89" s="72"/>
      <c r="D89" s="72"/>
      <c r="E89" s="72"/>
      <c r="F89" s="86"/>
      <c r="G89" s="72" t="s">
        <v>148</v>
      </c>
      <c r="H89" s="72"/>
      <c r="I89" s="72"/>
      <c r="J89" s="72"/>
      <c r="K89" s="72"/>
      <c r="L89" s="74"/>
      <c r="M89" s="6" t="s">
        <v>556</v>
      </c>
      <c r="N89" s="6"/>
      <c r="O89" s="6"/>
      <c r="R89" s="73"/>
      <c r="S89" s="72"/>
      <c r="T89" s="72"/>
      <c r="U89" s="72"/>
      <c r="V89" s="72"/>
      <c r="W89" s="86"/>
      <c r="X89" s="72"/>
      <c r="Y89" s="72"/>
      <c r="Z89" s="72"/>
      <c r="AA89" s="72"/>
    </row>
    <row r="90" spans="1:27" ht="12.75" customHeight="1" x14ac:dyDescent="0.4">
      <c r="A90" s="73" t="s">
        <v>137</v>
      </c>
      <c r="B90" s="74" t="s">
        <v>113</v>
      </c>
      <c r="C90" s="74" t="s">
        <v>114</v>
      </c>
      <c r="D90" s="74" t="s">
        <v>115</v>
      </c>
      <c r="E90" s="74" t="s">
        <v>116</v>
      </c>
      <c r="F90" s="86"/>
      <c r="G90" s="74" t="s">
        <v>113</v>
      </c>
      <c r="H90" s="74" t="s">
        <v>114</v>
      </c>
      <c r="I90" s="74" t="s">
        <v>115</v>
      </c>
      <c r="J90" s="74" t="s">
        <v>116</v>
      </c>
      <c r="K90" s="74"/>
      <c r="L90" s="75"/>
      <c r="M90" s="6" t="s">
        <v>557</v>
      </c>
      <c r="N90" s="139"/>
      <c r="O90" s="140"/>
      <c r="R90" s="73"/>
      <c r="S90" s="74"/>
      <c r="T90" s="74"/>
      <c r="U90" s="74"/>
      <c r="V90" s="74"/>
      <c r="W90" s="86"/>
      <c r="X90" s="74"/>
      <c r="Y90" s="74"/>
      <c r="Z90" s="74"/>
      <c r="AA90" s="74"/>
    </row>
    <row r="91" spans="1:27" ht="12.75" customHeight="1" x14ac:dyDescent="0.4">
      <c r="A91" s="73" t="s">
        <v>128</v>
      </c>
      <c r="B91" s="87">
        <v>20</v>
      </c>
      <c r="C91" s="87">
        <v>16</v>
      </c>
      <c r="D91" s="87">
        <v>2</v>
      </c>
      <c r="E91" s="87">
        <v>2</v>
      </c>
      <c r="F91" s="86"/>
      <c r="G91" s="75">
        <v>0.95238095238095233</v>
      </c>
      <c r="H91" s="75">
        <v>0.8</v>
      </c>
      <c r="I91" s="75">
        <v>0.1</v>
      </c>
      <c r="J91" s="75">
        <v>0.1</v>
      </c>
      <c r="K91" s="75"/>
      <c r="L91" s="75"/>
      <c r="M91" s="6" t="s">
        <v>448</v>
      </c>
      <c r="N91" s="6"/>
      <c r="O91" s="6"/>
      <c r="R91" s="73"/>
      <c r="S91" s="86"/>
      <c r="T91" s="86"/>
      <c r="U91" s="86"/>
      <c r="V91" s="86"/>
      <c r="W91" s="86"/>
      <c r="X91" s="75"/>
      <c r="Y91" s="75"/>
      <c r="Z91" s="75"/>
      <c r="AA91" s="75"/>
    </row>
    <row r="92" spans="1:27" ht="12.75" customHeight="1" x14ac:dyDescent="0.4">
      <c r="A92" s="73" t="s">
        <v>129</v>
      </c>
      <c r="B92" s="87">
        <v>28</v>
      </c>
      <c r="C92" s="87">
        <v>17</v>
      </c>
      <c r="D92" s="87">
        <v>9</v>
      </c>
      <c r="E92" s="87">
        <v>2</v>
      </c>
      <c r="F92" s="86"/>
      <c r="G92" s="75">
        <v>1</v>
      </c>
      <c r="H92" s="75">
        <v>0.6071428571428571</v>
      </c>
      <c r="I92" s="75">
        <v>0.32142857142857145</v>
      </c>
      <c r="J92" s="75">
        <v>7.1428571428571425E-2</v>
      </c>
      <c r="K92" s="75"/>
      <c r="L92" s="75"/>
      <c r="M92" s="6" t="s">
        <v>205</v>
      </c>
      <c r="N92" s="76">
        <v>499</v>
      </c>
      <c r="O92" s="141" t="s">
        <v>206</v>
      </c>
      <c r="P92" s="163"/>
      <c r="R92" s="73"/>
      <c r="S92" s="86"/>
      <c r="T92" s="86"/>
      <c r="U92" s="86"/>
      <c r="V92" s="86"/>
      <c r="W92" s="86"/>
      <c r="X92" s="75"/>
      <c r="Y92" s="75"/>
      <c r="Z92" s="75"/>
      <c r="AA92" s="75"/>
    </row>
    <row r="93" spans="1:27" ht="12.75" customHeight="1" x14ac:dyDescent="0.4">
      <c r="A93" s="73" t="s">
        <v>130</v>
      </c>
      <c r="B93" s="87">
        <v>73</v>
      </c>
      <c r="C93" s="87">
        <v>61</v>
      </c>
      <c r="D93" s="87">
        <v>11</v>
      </c>
      <c r="E93" s="87">
        <v>1</v>
      </c>
      <c r="F93" s="86"/>
      <c r="G93" s="75">
        <v>1</v>
      </c>
      <c r="H93" s="75">
        <v>0.83561643835616439</v>
      </c>
      <c r="I93" s="75">
        <v>0.15068493150684931</v>
      </c>
      <c r="J93" s="75">
        <v>1.3698630136986301E-2</v>
      </c>
      <c r="K93" s="75"/>
      <c r="L93" s="75"/>
      <c r="M93" s="6" t="s">
        <v>558</v>
      </c>
      <c r="N93" s="139">
        <v>230</v>
      </c>
      <c r="O93" s="140">
        <v>0.46092184368737477</v>
      </c>
      <c r="P93" s="163"/>
      <c r="Q93" s="140"/>
      <c r="R93" s="73"/>
      <c r="S93" s="86"/>
      <c r="T93" s="86"/>
      <c r="U93" s="86"/>
      <c r="V93" s="86"/>
      <c r="W93" s="86"/>
      <c r="X93" s="75"/>
      <c r="Y93" s="75"/>
      <c r="Z93" s="75"/>
      <c r="AA93" s="75"/>
    </row>
    <row r="94" spans="1:27" ht="12.75" customHeight="1" x14ac:dyDescent="0.4">
      <c r="A94" s="73" t="s">
        <v>131</v>
      </c>
      <c r="B94" s="87">
        <v>63</v>
      </c>
      <c r="C94" s="87">
        <v>47</v>
      </c>
      <c r="D94" s="87">
        <v>13</v>
      </c>
      <c r="E94" s="87">
        <v>3</v>
      </c>
      <c r="F94" s="86"/>
      <c r="G94" s="75">
        <v>1</v>
      </c>
      <c r="H94" s="75">
        <v>0.74603174603174605</v>
      </c>
      <c r="I94" s="75">
        <v>0.20634920634920634</v>
      </c>
      <c r="J94" s="75">
        <v>4.7619047619047616E-2</v>
      </c>
      <c r="K94" s="75"/>
      <c r="L94" s="75"/>
      <c r="M94" s="6" t="s">
        <v>230</v>
      </c>
      <c r="N94" s="139">
        <v>37</v>
      </c>
      <c r="O94" s="140">
        <v>7.4148296593186377E-2</v>
      </c>
      <c r="P94" s="232"/>
      <c r="Q94" s="140"/>
      <c r="R94" s="73"/>
      <c r="S94" s="86"/>
      <c r="T94" s="86"/>
      <c r="U94" s="86"/>
      <c r="V94" s="86"/>
      <c r="W94" s="86"/>
      <c r="X94" s="75"/>
      <c r="Y94" s="75"/>
      <c r="Z94" s="75"/>
      <c r="AA94" s="75"/>
    </row>
    <row r="95" spans="1:27" ht="12.75" customHeight="1" x14ac:dyDescent="0.4">
      <c r="A95" s="73" t="s">
        <v>132</v>
      </c>
      <c r="B95" s="87">
        <v>32</v>
      </c>
      <c r="C95" s="87">
        <v>25</v>
      </c>
      <c r="D95" s="87">
        <v>7</v>
      </c>
      <c r="E95" s="87">
        <v>0</v>
      </c>
      <c r="F95" s="86"/>
      <c r="G95" s="75">
        <v>1</v>
      </c>
      <c r="H95" s="75">
        <v>0.78125</v>
      </c>
      <c r="I95" s="75">
        <v>0.21875</v>
      </c>
      <c r="J95" s="75">
        <v>0</v>
      </c>
      <c r="K95" s="75"/>
      <c r="L95" s="75"/>
      <c r="M95" s="6" t="s">
        <v>559</v>
      </c>
      <c r="N95" s="139">
        <v>256</v>
      </c>
      <c r="O95" s="140">
        <v>0.51302605210420837</v>
      </c>
      <c r="P95" s="163"/>
      <c r="Q95" s="140"/>
      <c r="R95" s="73"/>
      <c r="S95" s="86"/>
      <c r="T95" s="86"/>
      <c r="U95" s="86"/>
      <c r="V95" s="86"/>
      <c r="W95" s="86"/>
      <c r="X95" s="75"/>
      <c r="Y95" s="75"/>
      <c r="Z95" s="75"/>
      <c r="AA95" s="75"/>
    </row>
    <row r="96" spans="1:27" s="53" customFormat="1" ht="12.75" customHeight="1" x14ac:dyDescent="0.4">
      <c r="A96" s="73" t="s">
        <v>133</v>
      </c>
      <c r="B96" s="87">
        <v>64</v>
      </c>
      <c r="C96" s="87">
        <v>58</v>
      </c>
      <c r="D96" s="87">
        <v>6</v>
      </c>
      <c r="E96" s="87">
        <v>0</v>
      </c>
      <c r="F96" s="86"/>
      <c r="G96" s="75">
        <v>1</v>
      </c>
      <c r="H96" s="75">
        <v>0.90625</v>
      </c>
      <c r="I96" s="75">
        <v>9.375E-2</v>
      </c>
      <c r="J96" s="75">
        <v>0</v>
      </c>
      <c r="K96" s="75"/>
      <c r="L96" s="75"/>
      <c r="M96" s="6" t="s">
        <v>231</v>
      </c>
      <c r="N96" s="139">
        <v>51</v>
      </c>
      <c r="O96" s="140">
        <v>0.10220440881763528</v>
      </c>
      <c r="P96" s="163"/>
      <c r="Q96" s="140"/>
      <c r="R96" s="73"/>
      <c r="S96" s="86"/>
      <c r="T96" s="86"/>
      <c r="U96" s="86"/>
      <c r="V96" s="86"/>
      <c r="W96" s="86"/>
      <c r="X96" s="75"/>
      <c r="Y96" s="75"/>
      <c r="Z96" s="75"/>
      <c r="AA96" s="75"/>
    </row>
    <row r="97" spans="1:27" s="53" customFormat="1" ht="12.75" customHeight="1" x14ac:dyDescent="0.4">
      <c r="A97" s="73" t="s">
        <v>134</v>
      </c>
      <c r="B97" s="87">
        <v>63</v>
      </c>
      <c r="C97" s="87">
        <v>55</v>
      </c>
      <c r="D97" s="87">
        <v>8</v>
      </c>
      <c r="E97" s="87">
        <v>0</v>
      </c>
      <c r="F97" s="87"/>
      <c r="G97" s="75">
        <v>0.96923076923076923</v>
      </c>
      <c r="H97" s="75">
        <v>0.87301587301587302</v>
      </c>
      <c r="I97" s="75">
        <v>0.12698412698412698</v>
      </c>
      <c r="J97" s="75">
        <v>0</v>
      </c>
      <c r="K97" s="75"/>
      <c r="L97" s="75"/>
      <c r="M97" s="6"/>
      <c r="N97" s="139"/>
      <c r="O97" s="140"/>
      <c r="P97"/>
      <c r="Q97"/>
      <c r="R97" s="73"/>
      <c r="S97" s="86"/>
      <c r="T97" s="86"/>
      <c r="U97" s="86"/>
      <c r="V97" s="86"/>
      <c r="W97" s="87"/>
      <c r="X97" s="75"/>
      <c r="Y97" s="75"/>
      <c r="Z97" s="75"/>
      <c r="AA97" s="75"/>
    </row>
    <row r="98" spans="1:27" s="53" customFormat="1" ht="12.75" customHeight="1" x14ac:dyDescent="0.4">
      <c r="A98" s="73" t="s">
        <v>135</v>
      </c>
      <c r="B98" s="87">
        <v>74</v>
      </c>
      <c r="C98" s="87">
        <v>70</v>
      </c>
      <c r="D98" s="87">
        <v>2</v>
      </c>
      <c r="E98" s="87">
        <v>2</v>
      </c>
      <c r="F98" s="87"/>
      <c r="G98" s="75">
        <v>0.98666666666666669</v>
      </c>
      <c r="H98" s="75">
        <v>0.94594594594594594</v>
      </c>
      <c r="I98" s="75">
        <v>2.7027027027027029E-2</v>
      </c>
      <c r="J98" s="75">
        <v>2.7027027027027029E-2</v>
      </c>
      <c r="K98" s="75"/>
      <c r="L98" s="75"/>
      <c r="M98" s="6" t="s">
        <v>560</v>
      </c>
      <c r="N98" s="138" t="s">
        <v>441</v>
      </c>
      <c r="O98" s="141" t="s">
        <v>206</v>
      </c>
      <c r="P98"/>
      <c r="Q98"/>
      <c r="R98" s="73"/>
      <c r="S98" s="86"/>
      <c r="T98" s="86"/>
      <c r="U98" s="86"/>
      <c r="V98" s="86"/>
      <c r="W98" s="87"/>
      <c r="X98" s="75"/>
      <c r="Y98" s="75"/>
      <c r="Z98" s="75"/>
      <c r="AA98" s="75"/>
    </row>
    <row r="99" spans="1:27" s="53" customFormat="1" ht="12.75" customHeight="1" x14ac:dyDescent="0.4">
      <c r="A99" s="73" t="s">
        <v>382</v>
      </c>
      <c r="B99" s="87">
        <v>26</v>
      </c>
      <c r="C99" s="87">
        <v>19</v>
      </c>
      <c r="D99" s="87">
        <v>6</v>
      </c>
      <c r="E99" s="87">
        <v>1</v>
      </c>
      <c r="F99" s="87"/>
      <c r="G99" s="75">
        <v>0.96296296296296291</v>
      </c>
      <c r="H99" s="75">
        <v>0.73076923076923073</v>
      </c>
      <c r="I99" s="75">
        <v>0.23076923076923078</v>
      </c>
      <c r="J99" s="75">
        <v>3.8461538461538464E-2</v>
      </c>
      <c r="K99" s="75"/>
      <c r="L99" s="75"/>
      <c r="M99" s="6" t="s">
        <v>561</v>
      </c>
      <c r="N99" s="241">
        <v>33</v>
      </c>
      <c r="O99" s="140">
        <v>6.6132264529058113E-2</v>
      </c>
      <c r="P99"/>
      <c r="Q99"/>
      <c r="R99" s="73"/>
      <c r="S99" s="86"/>
      <c r="T99" s="86"/>
      <c r="U99" s="86"/>
      <c r="V99" s="86"/>
      <c r="W99" s="87"/>
      <c r="X99" s="75"/>
      <c r="Y99" s="75"/>
      <c r="Z99" s="75"/>
      <c r="AA99" s="75"/>
    </row>
    <row r="100" spans="1:27" ht="12.75" customHeight="1" x14ac:dyDescent="0.4">
      <c r="A100" s="73" t="s">
        <v>136</v>
      </c>
      <c r="B100" s="87">
        <v>28</v>
      </c>
      <c r="C100" s="87">
        <v>17</v>
      </c>
      <c r="D100" s="87">
        <v>10</v>
      </c>
      <c r="E100" s="87">
        <v>1</v>
      </c>
      <c r="F100" s="87"/>
      <c r="G100" s="75">
        <v>1</v>
      </c>
      <c r="H100" s="75">
        <v>0.6071428571428571</v>
      </c>
      <c r="I100" s="75">
        <v>0.35714285714285715</v>
      </c>
      <c r="J100" s="75">
        <v>3.5714285714285712E-2</v>
      </c>
      <c r="K100" s="75"/>
      <c r="L100" s="75"/>
      <c r="M100" s="6"/>
      <c r="N100" s="139"/>
      <c r="O100" s="140"/>
      <c r="R100" s="73"/>
      <c r="S100" s="86"/>
      <c r="T100" s="86"/>
      <c r="U100" s="86"/>
      <c r="V100" s="86"/>
      <c r="W100" s="87"/>
      <c r="X100" s="75"/>
      <c r="Y100" s="75"/>
      <c r="Z100" s="75"/>
      <c r="AA100" s="75"/>
    </row>
    <row r="101" spans="1:27" ht="12.75" customHeight="1" x14ac:dyDescent="0.4">
      <c r="A101" s="73" t="s">
        <v>308</v>
      </c>
      <c r="B101" s="87">
        <v>29</v>
      </c>
      <c r="C101" s="87">
        <v>16</v>
      </c>
      <c r="D101" s="87">
        <v>10</v>
      </c>
      <c r="E101" s="87">
        <v>3</v>
      </c>
      <c r="F101" s="87"/>
      <c r="G101" s="75">
        <v>1</v>
      </c>
      <c r="H101" s="75">
        <v>0.55172413793103448</v>
      </c>
      <c r="I101" s="75">
        <v>0.34482758620689657</v>
      </c>
      <c r="J101" s="75">
        <v>0.10344827586206896</v>
      </c>
      <c r="K101" s="75"/>
      <c r="L101" s="75"/>
      <c r="M101" s="6"/>
      <c r="N101" s="139"/>
      <c r="O101" s="140"/>
      <c r="R101" s="73"/>
      <c r="S101" s="86"/>
      <c r="T101" s="86"/>
      <c r="U101" s="86"/>
      <c r="V101" s="86"/>
      <c r="W101" s="87"/>
      <c r="X101" s="75"/>
      <c r="Y101" s="75"/>
      <c r="Z101" s="75"/>
      <c r="AA101" s="75"/>
    </row>
    <row r="102" spans="1:27" ht="12.75" customHeight="1" x14ac:dyDescent="0.4">
      <c r="A102" s="73" t="s">
        <v>24</v>
      </c>
      <c r="B102" s="87">
        <v>500</v>
      </c>
      <c r="C102" s="87">
        <v>401</v>
      </c>
      <c r="D102" s="87">
        <v>84</v>
      </c>
      <c r="E102" s="87">
        <v>15</v>
      </c>
      <c r="F102" s="72"/>
      <c r="G102" s="75">
        <v>0.99009900990099009</v>
      </c>
      <c r="H102" s="75">
        <v>0.80200000000000005</v>
      </c>
      <c r="I102" s="75">
        <v>0.16800000000000001</v>
      </c>
      <c r="J102" s="75">
        <v>0.03</v>
      </c>
      <c r="K102" s="75"/>
      <c r="L102" s="75"/>
      <c r="M102" s="6"/>
      <c r="N102" s="75"/>
      <c r="O102" s="75"/>
      <c r="P102" s="92"/>
      <c r="R102" s="73"/>
      <c r="S102" s="87"/>
      <c r="T102" s="86"/>
      <c r="U102" s="86"/>
      <c r="V102" s="87"/>
      <c r="W102" s="72"/>
      <c r="X102" s="75"/>
      <c r="Y102" s="75"/>
      <c r="Z102" s="75"/>
      <c r="AA102" s="75"/>
    </row>
    <row r="103" spans="1:27" ht="12.75" customHeight="1" x14ac:dyDescent="0.4">
      <c r="A103" s="73"/>
      <c r="B103" s="87"/>
      <c r="C103" s="87"/>
      <c r="D103" s="87"/>
      <c r="E103" s="87"/>
      <c r="F103" s="72"/>
      <c r="G103" s="75"/>
      <c r="H103" s="75"/>
      <c r="I103" s="75"/>
      <c r="J103" s="75"/>
      <c r="K103" s="75"/>
      <c r="L103" s="75"/>
      <c r="M103" s="6"/>
      <c r="N103" s="75"/>
      <c r="O103" s="75"/>
      <c r="P103" s="92"/>
      <c r="R103" s="73"/>
      <c r="S103" s="87"/>
      <c r="T103" s="86"/>
      <c r="U103" s="86"/>
      <c r="V103" s="87"/>
      <c r="W103" s="72"/>
      <c r="X103" s="75"/>
      <c r="Y103" s="75"/>
      <c r="Z103" s="75"/>
      <c r="AA103" s="75"/>
    </row>
    <row r="104" spans="1:27" ht="12.75" customHeight="1" x14ac:dyDescent="0.4">
      <c r="A104" s="73"/>
      <c r="B104" s="87"/>
      <c r="C104" s="86"/>
      <c r="D104" s="86"/>
      <c r="E104" s="87"/>
      <c r="F104" s="72"/>
      <c r="G104" s="75"/>
      <c r="H104" s="75"/>
      <c r="I104" s="75"/>
      <c r="J104" s="75"/>
      <c r="K104" s="75"/>
      <c r="L104" s="75"/>
      <c r="M104" s="6"/>
      <c r="N104" s="75"/>
      <c r="O104" s="75"/>
      <c r="S104" s="53"/>
    </row>
    <row r="105" spans="1:27" ht="12.75" customHeight="1" x14ac:dyDescent="0.4">
      <c r="A105" s="73" t="s">
        <v>547</v>
      </c>
      <c r="B105" s="72"/>
      <c r="C105" s="72"/>
      <c r="D105" s="72"/>
      <c r="E105" s="72"/>
      <c r="F105" s="72"/>
      <c r="G105" s="72"/>
      <c r="H105" s="72"/>
      <c r="I105" s="72"/>
      <c r="J105" s="72"/>
      <c r="K105" s="72"/>
      <c r="L105" s="72"/>
      <c r="M105" s="6"/>
      <c r="N105" s="6"/>
      <c r="O105" s="6"/>
      <c r="R105" s="73"/>
      <c r="S105" s="72"/>
      <c r="T105" s="72"/>
      <c r="U105" s="72"/>
      <c r="V105" s="72"/>
      <c r="W105" s="86"/>
      <c r="X105" s="72"/>
      <c r="Y105" s="72"/>
      <c r="Z105" s="72"/>
      <c r="AA105" s="72"/>
    </row>
    <row r="106" spans="1:27" ht="12.75" customHeight="1" x14ac:dyDescent="0.4">
      <c r="A106" s="73" t="s">
        <v>373</v>
      </c>
      <c r="B106" s="72"/>
      <c r="C106" s="72"/>
      <c r="D106" s="72"/>
      <c r="E106" s="72"/>
      <c r="F106" s="72"/>
      <c r="G106" s="72"/>
      <c r="H106" s="72"/>
      <c r="I106" s="72"/>
      <c r="J106" s="72"/>
      <c r="K106" s="72"/>
      <c r="L106" s="72"/>
      <c r="M106" s="6"/>
      <c r="N106" s="6"/>
      <c r="O106" s="6"/>
      <c r="R106" s="73"/>
      <c r="S106" s="74"/>
      <c r="T106" s="74"/>
      <c r="U106" s="74"/>
      <c r="V106" s="74"/>
      <c r="W106" s="86"/>
      <c r="X106" s="74"/>
      <c r="Y106" s="74"/>
      <c r="Z106" s="74"/>
      <c r="AA106" s="74"/>
    </row>
    <row r="107" spans="1:27" ht="12.75" customHeight="1" x14ac:dyDescent="0.4">
      <c r="A107" s="73" t="s">
        <v>555</v>
      </c>
      <c r="B107" s="72"/>
      <c r="C107" s="72"/>
      <c r="D107" s="72"/>
      <c r="E107" s="72"/>
      <c r="F107" s="72"/>
      <c r="G107" s="72"/>
      <c r="H107" s="72"/>
      <c r="I107" s="72"/>
      <c r="J107" s="72"/>
      <c r="K107" s="72"/>
      <c r="L107" s="72"/>
      <c r="M107" s="6"/>
      <c r="N107" s="6"/>
      <c r="O107" s="6"/>
      <c r="R107" s="73"/>
      <c r="S107" s="86"/>
      <c r="T107" s="86"/>
      <c r="U107" s="86"/>
      <c r="V107" s="86"/>
      <c r="W107" s="86"/>
      <c r="X107" s="75"/>
      <c r="Y107" s="75"/>
      <c r="Z107" s="75"/>
      <c r="AA107" s="75"/>
    </row>
    <row r="108" spans="1:27" ht="12.75" customHeight="1" x14ac:dyDescent="0.4">
      <c r="A108" s="73"/>
      <c r="B108" s="72" t="s">
        <v>141</v>
      </c>
      <c r="C108" s="72"/>
      <c r="D108" s="72"/>
      <c r="E108" s="72"/>
      <c r="F108" s="86"/>
      <c r="G108" s="72" t="s">
        <v>148</v>
      </c>
      <c r="H108" s="72"/>
      <c r="I108" s="72"/>
      <c r="J108" s="72"/>
      <c r="K108" s="72"/>
      <c r="L108" s="74"/>
      <c r="M108" s="6" t="s">
        <v>547</v>
      </c>
      <c r="N108" s="6"/>
      <c r="O108" s="6"/>
      <c r="P108" s="163"/>
      <c r="R108" s="73"/>
      <c r="S108" s="86"/>
      <c r="T108" s="86"/>
      <c r="U108" s="86"/>
      <c r="V108" s="86"/>
      <c r="W108" s="86"/>
      <c r="X108" s="75"/>
      <c r="Y108" s="75"/>
      <c r="Z108" s="75"/>
      <c r="AA108" s="75"/>
    </row>
    <row r="109" spans="1:27" ht="12.75" customHeight="1" x14ac:dyDescent="0.4">
      <c r="A109" s="73" t="s">
        <v>137</v>
      </c>
      <c r="B109" s="74" t="s">
        <v>113</v>
      </c>
      <c r="C109" s="74" t="s">
        <v>114</v>
      </c>
      <c r="D109" s="74" t="s">
        <v>115</v>
      </c>
      <c r="E109" s="74" t="s">
        <v>116</v>
      </c>
      <c r="F109" s="86"/>
      <c r="G109" s="74" t="s">
        <v>113</v>
      </c>
      <c r="H109" s="74" t="s">
        <v>114</v>
      </c>
      <c r="I109" s="74" t="s">
        <v>115</v>
      </c>
      <c r="J109" s="74" t="s">
        <v>116</v>
      </c>
      <c r="K109" s="74"/>
      <c r="L109" s="75"/>
      <c r="M109" s="6" t="s">
        <v>548</v>
      </c>
      <c r="N109" s="139"/>
      <c r="O109" s="140"/>
      <c r="P109" s="163"/>
      <c r="Q109" s="140"/>
      <c r="R109" s="73"/>
      <c r="S109" s="86"/>
      <c r="T109" s="86"/>
      <c r="U109" s="86"/>
      <c r="V109" s="86"/>
      <c r="W109" s="86"/>
      <c r="X109" s="75"/>
      <c r="Y109" s="75"/>
      <c r="Z109" s="75"/>
      <c r="AA109" s="75"/>
    </row>
    <row r="110" spans="1:27" ht="12.75" customHeight="1" x14ac:dyDescent="0.4">
      <c r="A110" s="73" t="s">
        <v>128</v>
      </c>
      <c r="B110" s="87">
        <v>22</v>
      </c>
      <c r="C110" s="87">
        <v>17</v>
      </c>
      <c r="D110" s="87">
        <v>4</v>
      </c>
      <c r="E110" s="87">
        <v>1</v>
      </c>
      <c r="F110" s="86"/>
      <c r="G110" s="75">
        <v>1</v>
      </c>
      <c r="H110" s="75">
        <v>0.77272727272727271</v>
      </c>
      <c r="I110" s="75">
        <v>0.18181818181818182</v>
      </c>
      <c r="J110" s="75">
        <v>4.5454545454545456E-2</v>
      </c>
      <c r="K110" s="75"/>
      <c r="L110" s="75"/>
      <c r="M110" s="6" t="s">
        <v>448</v>
      </c>
      <c r="N110" s="6"/>
      <c r="O110" s="6"/>
      <c r="P110" s="232"/>
      <c r="Q110" s="140"/>
      <c r="R110" s="73"/>
      <c r="S110" s="86"/>
      <c r="T110" s="86"/>
      <c r="U110" s="86"/>
      <c r="V110" s="86"/>
      <c r="W110" s="86"/>
      <c r="X110" s="75"/>
      <c r="Y110" s="75"/>
      <c r="Z110" s="75"/>
      <c r="AA110" s="75"/>
    </row>
    <row r="111" spans="1:27" ht="12.75" customHeight="1" x14ac:dyDescent="0.4">
      <c r="A111" s="73" t="s">
        <v>129</v>
      </c>
      <c r="B111" s="87">
        <v>28</v>
      </c>
      <c r="C111" s="87">
        <v>20</v>
      </c>
      <c r="D111" s="87">
        <v>6</v>
      </c>
      <c r="E111" s="87">
        <v>2</v>
      </c>
      <c r="F111" s="86"/>
      <c r="G111" s="75">
        <v>1</v>
      </c>
      <c r="H111" s="75">
        <v>0.7142857142857143</v>
      </c>
      <c r="I111" s="75">
        <v>0.21428571428571427</v>
      </c>
      <c r="J111" s="75">
        <v>7.1428571428571425E-2</v>
      </c>
      <c r="K111" s="75"/>
      <c r="L111" s="75"/>
      <c r="M111" s="6" t="s">
        <v>205</v>
      </c>
      <c r="N111" s="76">
        <v>499</v>
      </c>
      <c r="O111" s="141" t="s">
        <v>206</v>
      </c>
      <c r="P111" s="163"/>
      <c r="Q111" s="140"/>
      <c r="R111" s="73"/>
      <c r="S111" s="86"/>
      <c r="T111" s="86"/>
      <c r="U111" s="86"/>
      <c r="V111" s="86"/>
      <c r="W111" s="86"/>
      <c r="X111" s="75"/>
      <c r="Y111" s="75"/>
      <c r="Z111" s="75"/>
      <c r="AA111" s="75"/>
    </row>
    <row r="112" spans="1:27" s="53" customFormat="1" ht="12.75" customHeight="1" x14ac:dyDescent="0.4">
      <c r="A112" s="73" t="s">
        <v>130</v>
      </c>
      <c r="B112" s="87">
        <v>73</v>
      </c>
      <c r="C112" s="87">
        <v>61</v>
      </c>
      <c r="D112" s="87">
        <v>8</v>
      </c>
      <c r="E112" s="87">
        <v>4</v>
      </c>
      <c r="F112" s="86"/>
      <c r="G112" s="75">
        <v>0.98648648648648651</v>
      </c>
      <c r="H112" s="75">
        <v>0.83561643835616439</v>
      </c>
      <c r="I112" s="75">
        <v>0.1095890410958904</v>
      </c>
      <c r="J112" s="75">
        <v>5.4794520547945202E-2</v>
      </c>
      <c r="K112" s="75"/>
      <c r="L112" s="75"/>
      <c r="M112" s="6" t="s">
        <v>549</v>
      </c>
      <c r="N112" s="139">
        <v>187</v>
      </c>
      <c r="O112" s="140">
        <v>0.37474949899799598</v>
      </c>
      <c r="P112" s="163"/>
      <c r="Q112" s="140"/>
      <c r="R112" s="73"/>
      <c r="S112" s="86"/>
      <c r="T112" s="86"/>
      <c r="U112" s="86"/>
      <c r="V112" s="86"/>
      <c r="W112" s="86"/>
      <c r="X112" s="75"/>
      <c r="Y112" s="75"/>
      <c r="Z112" s="75"/>
      <c r="AA112" s="75"/>
    </row>
    <row r="113" spans="1:27" s="53" customFormat="1" ht="12.75" customHeight="1" x14ac:dyDescent="0.4">
      <c r="A113" s="73" t="s">
        <v>131</v>
      </c>
      <c r="B113" s="87">
        <v>63</v>
      </c>
      <c r="C113" s="87">
        <v>56</v>
      </c>
      <c r="D113" s="87">
        <v>7</v>
      </c>
      <c r="E113" s="87">
        <v>0</v>
      </c>
      <c r="F113" s="86"/>
      <c r="G113" s="75">
        <v>1</v>
      </c>
      <c r="H113" s="75">
        <v>0.88888888888888884</v>
      </c>
      <c r="I113" s="75">
        <v>0.1111111111111111</v>
      </c>
      <c r="J113" s="75">
        <v>0</v>
      </c>
      <c r="K113" s="75"/>
      <c r="L113" s="75"/>
      <c r="M113" s="6" t="s">
        <v>230</v>
      </c>
      <c r="N113" s="139">
        <v>27</v>
      </c>
      <c r="O113" s="140">
        <v>5.410821643286573E-2</v>
      </c>
      <c r="P113"/>
      <c r="Q113"/>
      <c r="R113" s="73"/>
      <c r="S113" s="86"/>
      <c r="T113" s="86"/>
      <c r="U113" s="86"/>
      <c r="V113" s="86"/>
      <c r="W113" s="87"/>
      <c r="X113" s="75"/>
      <c r="Y113" s="75"/>
      <c r="Z113" s="75"/>
      <c r="AA113" s="75"/>
    </row>
    <row r="114" spans="1:27" s="53" customFormat="1" ht="12.75" customHeight="1" x14ac:dyDescent="0.4">
      <c r="A114" s="73" t="s">
        <v>132</v>
      </c>
      <c r="B114" s="87">
        <v>32</v>
      </c>
      <c r="C114" s="87">
        <v>26</v>
      </c>
      <c r="D114" s="87">
        <v>4</v>
      </c>
      <c r="E114" s="87">
        <v>2</v>
      </c>
      <c r="F114" s="86"/>
      <c r="G114" s="75">
        <v>1</v>
      </c>
      <c r="H114" s="75">
        <v>0.8125</v>
      </c>
      <c r="I114" s="75">
        <v>0.125</v>
      </c>
      <c r="J114" s="75">
        <v>6.25E-2</v>
      </c>
      <c r="K114" s="75"/>
      <c r="L114" s="75"/>
      <c r="M114" s="6" t="s">
        <v>550</v>
      </c>
      <c r="N114" s="139">
        <v>302</v>
      </c>
      <c r="O114" s="140">
        <v>0.60521042084168342</v>
      </c>
      <c r="P114"/>
      <c r="Q114"/>
      <c r="R114" s="73"/>
      <c r="S114" s="86"/>
      <c r="T114" s="86"/>
      <c r="U114" s="86"/>
      <c r="V114" s="86"/>
      <c r="W114" s="87"/>
      <c r="X114" s="75"/>
      <c r="Y114" s="75"/>
      <c r="Z114" s="75"/>
      <c r="AA114" s="75"/>
    </row>
    <row r="115" spans="1:27" s="53" customFormat="1" ht="12.75" customHeight="1" x14ac:dyDescent="0.4">
      <c r="A115" s="73" t="s">
        <v>133</v>
      </c>
      <c r="B115" s="87">
        <v>63</v>
      </c>
      <c r="C115" s="87">
        <v>58</v>
      </c>
      <c r="D115" s="87">
        <v>5</v>
      </c>
      <c r="E115" s="87">
        <v>0</v>
      </c>
      <c r="F115" s="86"/>
      <c r="G115" s="75">
        <v>0.984375</v>
      </c>
      <c r="H115" s="75">
        <v>0.92063492063492058</v>
      </c>
      <c r="I115" s="75">
        <v>7.9365079365079361E-2</v>
      </c>
      <c r="J115" s="75">
        <v>0</v>
      </c>
      <c r="K115" s="75"/>
      <c r="L115" s="75"/>
      <c r="M115" s="6" t="s">
        <v>231</v>
      </c>
      <c r="N115" s="139">
        <v>55</v>
      </c>
      <c r="O115" s="140">
        <v>0.11022044088176353</v>
      </c>
      <c r="P115"/>
      <c r="Q115"/>
      <c r="R115" s="73"/>
      <c r="S115" s="86"/>
      <c r="T115" s="86"/>
      <c r="U115" s="86"/>
      <c r="V115" s="86"/>
      <c r="W115" s="87"/>
      <c r="X115" s="75"/>
      <c r="Y115" s="75"/>
      <c r="Z115" s="75"/>
      <c r="AA115" s="75"/>
    </row>
    <row r="116" spans="1:27" ht="12.75" customHeight="1" x14ac:dyDescent="0.4">
      <c r="A116" s="73" t="s">
        <v>134</v>
      </c>
      <c r="B116" s="87">
        <v>63</v>
      </c>
      <c r="C116" s="87">
        <v>57</v>
      </c>
      <c r="D116" s="87">
        <v>5</v>
      </c>
      <c r="E116" s="87">
        <v>1</v>
      </c>
      <c r="F116" s="87"/>
      <c r="G116" s="75">
        <v>0.96923076923076923</v>
      </c>
      <c r="H116" s="75">
        <v>0.90476190476190477</v>
      </c>
      <c r="I116" s="75">
        <v>7.9365079365079361E-2</v>
      </c>
      <c r="J116" s="75">
        <v>1.5873015873015872E-2</v>
      </c>
      <c r="K116" s="75"/>
      <c r="L116" s="75"/>
      <c r="M116" s="6"/>
      <c r="N116" s="139"/>
      <c r="O116" s="140"/>
      <c r="R116" s="73"/>
      <c r="S116" s="86"/>
      <c r="T116" s="86"/>
      <c r="U116" s="86"/>
      <c r="V116" s="86"/>
      <c r="W116" s="87"/>
      <c r="X116" s="75"/>
      <c r="Y116" s="75"/>
      <c r="Z116" s="75"/>
      <c r="AA116" s="75"/>
    </row>
    <row r="117" spans="1:27" ht="12.75" customHeight="1" x14ac:dyDescent="0.4">
      <c r="A117" s="73" t="s">
        <v>135</v>
      </c>
      <c r="B117" s="87">
        <v>74</v>
      </c>
      <c r="C117" s="87">
        <v>72</v>
      </c>
      <c r="D117" s="87">
        <v>1</v>
      </c>
      <c r="E117" s="87">
        <v>1</v>
      </c>
      <c r="F117" s="87"/>
      <c r="G117" s="75">
        <v>1</v>
      </c>
      <c r="H117" s="75">
        <v>0.97297297297297303</v>
      </c>
      <c r="I117" s="75">
        <v>1.3513513513513514E-2</v>
      </c>
      <c r="J117" s="75">
        <v>1.3513513513513514E-2</v>
      </c>
      <c r="K117" s="75"/>
      <c r="L117" s="75"/>
      <c r="M117" s="6" t="s">
        <v>551</v>
      </c>
      <c r="N117" s="138" t="s">
        <v>441</v>
      </c>
      <c r="O117" s="141" t="s">
        <v>206</v>
      </c>
      <c r="R117" s="73"/>
      <c r="S117" s="86"/>
      <c r="T117" s="86"/>
      <c r="U117" s="86"/>
      <c r="V117" s="86"/>
      <c r="W117" s="87"/>
      <c r="X117" s="75"/>
      <c r="Y117" s="75"/>
      <c r="Z117" s="75"/>
      <c r="AA117" s="75"/>
    </row>
    <row r="118" spans="1:27" ht="12.75" customHeight="1" x14ac:dyDescent="0.4">
      <c r="A118" s="73" t="s">
        <v>382</v>
      </c>
      <c r="B118" s="87">
        <v>25</v>
      </c>
      <c r="C118" s="87">
        <v>21</v>
      </c>
      <c r="D118" s="87">
        <v>3</v>
      </c>
      <c r="E118" s="87">
        <v>1</v>
      </c>
      <c r="F118" s="87"/>
      <c r="G118" s="75">
        <v>0.96153846153846156</v>
      </c>
      <c r="H118" s="75">
        <v>0.84</v>
      </c>
      <c r="I118" s="75">
        <v>0.12</v>
      </c>
      <c r="J118" s="75">
        <v>0.04</v>
      </c>
      <c r="K118" s="75"/>
      <c r="L118" s="75"/>
      <c r="M118" s="6" t="s">
        <v>552</v>
      </c>
      <c r="N118" s="241">
        <v>22</v>
      </c>
      <c r="O118" s="140">
        <v>4.4088176352705413E-2</v>
      </c>
      <c r="P118" s="92"/>
      <c r="R118" s="73"/>
      <c r="S118" s="87"/>
      <c r="T118" s="86"/>
      <c r="U118" s="86"/>
      <c r="V118" s="87"/>
      <c r="W118" s="72"/>
      <c r="X118" s="75"/>
      <c r="Y118" s="75"/>
      <c r="Z118" s="75"/>
      <c r="AA118" s="75"/>
    </row>
    <row r="119" spans="1:27" ht="12.75" customHeight="1" x14ac:dyDescent="0.4">
      <c r="A119" s="73" t="s">
        <v>136</v>
      </c>
      <c r="B119" s="87">
        <v>28</v>
      </c>
      <c r="C119" s="87">
        <v>18</v>
      </c>
      <c r="D119" s="87">
        <v>7</v>
      </c>
      <c r="E119" s="87">
        <v>3</v>
      </c>
      <c r="F119" s="87"/>
      <c r="G119" s="75">
        <v>1</v>
      </c>
      <c r="H119" s="75">
        <v>0.6428571428571429</v>
      </c>
      <c r="I119" s="75">
        <v>0.25</v>
      </c>
      <c r="J119" s="75">
        <v>0.10714285714285714</v>
      </c>
      <c r="K119" s="75"/>
      <c r="L119" s="75"/>
      <c r="M119" s="6"/>
      <c r="N119" s="139"/>
      <c r="O119" s="140"/>
      <c r="P119" s="92"/>
      <c r="R119" s="73"/>
      <c r="S119" s="87"/>
      <c r="T119" s="86"/>
      <c r="U119" s="86"/>
      <c r="V119" s="87"/>
      <c r="W119" s="72"/>
      <c r="X119" s="75"/>
      <c r="Y119" s="75"/>
      <c r="Z119" s="75"/>
      <c r="AA119" s="75"/>
    </row>
    <row r="120" spans="1:27" s="72" customFormat="1" ht="13.15" x14ac:dyDescent="0.4">
      <c r="A120" s="73" t="s">
        <v>308</v>
      </c>
      <c r="B120" s="87">
        <v>29</v>
      </c>
      <c r="C120" s="87">
        <v>25</v>
      </c>
      <c r="D120" s="87">
        <v>3</v>
      </c>
      <c r="E120" s="87">
        <v>1</v>
      </c>
      <c r="F120" s="87"/>
      <c r="G120" s="75">
        <v>1</v>
      </c>
      <c r="H120" s="75">
        <v>0.86206896551724133</v>
      </c>
      <c r="I120" s="75">
        <v>0.10344827586206896</v>
      </c>
      <c r="J120" s="75">
        <v>3.4482758620689655E-2</v>
      </c>
      <c r="K120" s="75"/>
      <c r="L120" s="75"/>
      <c r="M120" s="6"/>
      <c r="N120" s="139"/>
      <c r="O120" s="140"/>
    </row>
    <row r="121" spans="1:27" ht="13.15" x14ac:dyDescent="0.4">
      <c r="A121" s="73" t="s">
        <v>24</v>
      </c>
      <c r="B121" s="87">
        <v>500</v>
      </c>
      <c r="C121" s="87">
        <v>431</v>
      </c>
      <c r="D121" s="87">
        <v>53</v>
      </c>
      <c r="E121" s="87">
        <v>16</v>
      </c>
      <c r="F121" s="72"/>
      <c r="G121" s="75">
        <v>0.99009900990099009</v>
      </c>
      <c r="H121" s="75">
        <v>0.86199999999999999</v>
      </c>
      <c r="I121" s="75">
        <v>0.106</v>
      </c>
      <c r="J121" s="75">
        <v>3.2000000000000001E-2</v>
      </c>
      <c r="K121" s="75"/>
      <c r="L121" s="75"/>
      <c r="M121" s="6"/>
      <c r="N121" s="75"/>
      <c r="O121" s="75"/>
      <c r="P121" s="72"/>
      <c r="Q121" s="72"/>
      <c r="R121" s="73"/>
      <c r="S121" s="72"/>
      <c r="T121" s="72"/>
      <c r="U121" s="72"/>
      <c r="V121" s="72"/>
      <c r="W121" s="72"/>
      <c r="X121" s="72"/>
      <c r="Y121" s="72"/>
      <c r="Z121" s="72"/>
      <c r="AA121" s="72"/>
    </row>
    <row r="122" spans="1:27" ht="13.15" x14ac:dyDescent="0.4">
      <c r="A122" s="73"/>
      <c r="B122" s="87"/>
      <c r="C122" s="87"/>
      <c r="D122" s="87"/>
      <c r="E122" s="87"/>
      <c r="F122" s="72"/>
      <c r="G122" s="75"/>
      <c r="H122" s="75"/>
      <c r="I122" s="75"/>
      <c r="J122" s="75"/>
      <c r="K122" s="75"/>
      <c r="L122" s="75"/>
      <c r="M122" s="6"/>
      <c r="N122" s="75"/>
      <c r="O122" s="75"/>
      <c r="P122" s="72"/>
      <c r="Q122" s="72"/>
      <c r="R122" s="73"/>
      <c r="S122" s="72"/>
      <c r="T122" s="72"/>
      <c r="U122" s="72"/>
      <c r="V122" s="72"/>
      <c r="W122" s="72"/>
      <c r="X122" s="72"/>
      <c r="Y122" s="72"/>
      <c r="Z122" s="72"/>
      <c r="AA122" s="72"/>
    </row>
    <row r="123" spans="1:27" ht="12.75" customHeight="1" x14ac:dyDescent="0.4">
      <c r="A123" s="73"/>
      <c r="B123" s="87"/>
      <c r="C123" s="86"/>
      <c r="D123" s="86"/>
      <c r="E123" s="87"/>
      <c r="F123" s="72"/>
      <c r="G123" s="75"/>
      <c r="H123" s="75"/>
      <c r="I123" s="75"/>
      <c r="J123" s="75"/>
      <c r="K123" s="75"/>
      <c r="L123" s="75"/>
      <c r="M123" s="6"/>
      <c r="N123" s="75"/>
      <c r="O123" s="75"/>
      <c r="P123" s="72"/>
      <c r="Q123" s="72"/>
      <c r="R123" s="73"/>
      <c r="S123" s="72"/>
      <c r="T123" s="72"/>
      <c r="U123" s="72"/>
      <c r="V123" s="72"/>
      <c r="W123" s="72"/>
      <c r="X123" s="72"/>
      <c r="Y123" s="72"/>
      <c r="Z123" s="72"/>
      <c r="AA123" s="72"/>
    </row>
    <row r="124" spans="1:27" ht="12.75" customHeight="1" x14ac:dyDescent="0.4">
      <c r="A124" s="73" t="s">
        <v>531</v>
      </c>
      <c r="B124" s="72"/>
      <c r="C124" s="72"/>
      <c r="D124" s="72"/>
      <c r="E124" s="72"/>
      <c r="F124" s="72"/>
      <c r="G124" s="72"/>
      <c r="H124" s="72"/>
      <c r="I124" s="72"/>
      <c r="J124" s="72"/>
      <c r="K124" s="72"/>
      <c r="L124" s="74"/>
      <c r="M124" s="6"/>
      <c r="N124" s="75"/>
      <c r="O124" s="75"/>
      <c r="P124" s="72"/>
      <c r="Q124" s="72"/>
      <c r="R124" s="73"/>
      <c r="S124" s="72"/>
      <c r="T124" s="72"/>
      <c r="U124" s="72"/>
      <c r="V124" s="72"/>
      <c r="W124" s="72"/>
      <c r="X124" s="72"/>
      <c r="Y124" s="72"/>
      <c r="Z124" s="72"/>
      <c r="AA124" s="72"/>
    </row>
    <row r="125" spans="1:27" ht="12.75" customHeight="1" x14ac:dyDescent="0.4">
      <c r="A125" s="73" t="s">
        <v>380</v>
      </c>
      <c r="B125" s="72"/>
      <c r="C125" s="72"/>
      <c r="D125" s="72"/>
      <c r="E125" s="72"/>
      <c r="F125" s="72"/>
      <c r="G125" s="72"/>
      <c r="H125" s="72"/>
      <c r="I125" s="72"/>
      <c r="J125" s="72"/>
      <c r="K125" s="74"/>
      <c r="L125" s="75"/>
      <c r="M125" s="6"/>
      <c r="N125" s="75"/>
      <c r="O125" s="75"/>
      <c r="R125" s="73"/>
      <c r="S125" s="72"/>
      <c r="T125" s="72"/>
      <c r="U125" s="72"/>
      <c r="V125" s="72"/>
      <c r="W125" s="278"/>
      <c r="X125" s="72"/>
      <c r="Y125" s="72"/>
      <c r="Z125" s="72"/>
      <c r="AA125" s="72"/>
    </row>
    <row r="126" spans="1:27" ht="12.75" customHeight="1" x14ac:dyDescent="0.4">
      <c r="A126" s="73" t="s">
        <v>546</v>
      </c>
      <c r="B126" s="72"/>
      <c r="C126" s="72"/>
      <c r="D126" s="72"/>
      <c r="E126" s="72"/>
      <c r="F126" s="72"/>
      <c r="G126" s="72"/>
      <c r="H126" s="72"/>
      <c r="I126" s="72"/>
      <c r="J126" s="72"/>
      <c r="K126" s="75"/>
      <c r="L126" s="75"/>
      <c r="M126" s="6"/>
      <c r="N126" s="6"/>
      <c r="O126" s="6"/>
      <c r="R126" s="73"/>
      <c r="S126" s="74"/>
      <c r="T126" s="74"/>
      <c r="U126" s="74"/>
      <c r="V126" s="74"/>
      <c r="W126" s="278"/>
      <c r="X126" s="74"/>
      <c r="Y126" s="74"/>
      <c r="Z126" s="74"/>
      <c r="AA126" s="74"/>
    </row>
    <row r="127" spans="1:27" ht="12.75" customHeight="1" x14ac:dyDescent="0.4">
      <c r="A127" s="73"/>
      <c r="B127" s="72" t="s">
        <v>141</v>
      </c>
      <c r="C127" s="72"/>
      <c r="D127" s="72"/>
      <c r="E127" s="72"/>
      <c r="F127" s="86"/>
      <c r="G127" s="72" t="s">
        <v>148</v>
      </c>
      <c r="H127" s="72"/>
      <c r="I127" s="72"/>
      <c r="J127" s="72"/>
      <c r="K127" s="75"/>
      <c r="L127" s="75"/>
      <c r="M127" s="6" t="s">
        <v>531</v>
      </c>
      <c r="N127" s="6"/>
      <c r="O127" s="6"/>
      <c r="R127" s="73"/>
      <c r="S127" s="278"/>
      <c r="T127" s="278"/>
      <c r="U127" s="278"/>
      <c r="V127" s="278"/>
      <c r="W127" s="278"/>
      <c r="X127" s="75"/>
      <c r="Y127" s="75"/>
      <c r="Z127" s="75"/>
      <c r="AA127" s="75"/>
    </row>
    <row r="128" spans="1:27" ht="12.75" customHeight="1" x14ac:dyDescent="0.4">
      <c r="A128" s="73" t="s">
        <v>137</v>
      </c>
      <c r="B128" s="74" t="s">
        <v>113</v>
      </c>
      <c r="C128" s="74" t="s">
        <v>114</v>
      </c>
      <c r="D128" s="74" t="s">
        <v>115</v>
      </c>
      <c r="E128" s="74" t="s">
        <v>116</v>
      </c>
      <c r="F128" s="86"/>
      <c r="G128" s="74" t="s">
        <v>113</v>
      </c>
      <c r="H128" s="74" t="s">
        <v>114</v>
      </c>
      <c r="I128" s="74" t="s">
        <v>115</v>
      </c>
      <c r="J128" s="74" t="s">
        <v>116</v>
      </c>
      <c r="K128" s="75"/>
      <c r="L128" s="75"/>
      <c r="M128" s="6" t="s">
        <v>532</v>
      </c>
      <c r="N128" s="139"/>
      <c r="O128" s="140"/>
      <c r="P128" s="163"/>
      <c r="R128" s="73"/>
      <c r="S128" s="278"/>
      <c r="T128" s="278"/>
      <c r="U128" s="278"/>
      <c r="V128" s="278"/>
      <c r="W128" s="278"/>
      <c r="X128" s="75"/>
      <c r="Y128" s="75"/>
      <c r="Z128" s="75"/>
      <c r="AA128" s="75"/>
    </row>
    <row r="129" spans="1:27" ht="12.75" customHeight="1" x14ac:dyDescent="0.4">
      <c r="A129" s="73" t="s">
        <v>128</v>
      </c>
      <c r="B129" s="87">
        <v>24</v>
      </c>
      <c r="C129" s="87">
        <v>19</v>
      </c>
      <c r="D129" s="87">
        <v>3</v>
      </c>
      <c r="E129" s="87">
        <v>2</v>
      </c>
      <c r="F129" s="86"/>
      <c r="G129" s="75">
        <v>1.0434782608695652</v>
      </c>
      <c r="H129" s="75">
        <v>0.79166666666666663</v>
      </c>
      <c r="I129" s="75">
        <v>0.125</v>
      </c>
      <c r="J129" s="75">
        <v>8.3333333333333329E-2</v>
      </c>
      <c r="K129" s="75"/>
      <c r="L129" s="75"/>
      <c r="M129" s="6" t="s">
        <v>448</v>
      </c>
      <c r="N129" s="6"/>
      <c r="O129" s="6"/>
      <c r="P129" s="163"/>
      <c r="Q129" s="280"/>
      <c r="R129" s="73"/>
      <c r="S129" s="278"/>
      <c r="T129" s="278"/>
      <c r="U129" s="278"/>
      <c r="V129" s="278"/>
      <c r="W129" s="278"/>
      <c r="X129" s="75"/>
      <c r="Y129" s="75"/>
      <c r="Z129" s="75"/>
      <c r="AA129" s="75"/>
    </row>
    <row r="130" spans="1:27" ht="12.75" customHeight="1" x14ac:dyDescent="0.4">
      <c r="A130" s="73" t="s">
        <v>129</v>
      </c>
      <c r="B130" s="87">
        <v>28</v>
      </c>
      <c r="C130" s="87">
        <v>23</v>
      </c>
      <c r="D130" s="87">
        <v>3</v>
      </c>
      <c r="E130" s="87">
        <v>2</v>
      </c>
      <c r="F130" s="86"/>
      <c r="G130" s="75">
        <v>1</v>
      </c>
      <c r="H130" s="75">
        <v>0.8214285714285714</v>
      </c>
      <c r="I130" s="75">
        <v>0.10714285714285714</v>
      </c>
      <c r="J130" s="75">
        <v>7.1428571428571425E-2</v>
      </c>
      <c r="K130" s="75"/>
      <c r="L130" s="75"/>
      <c r="M130" s="6" t="s">
        <v>205</v>
      </c>
      <c r="N130" s="76">
        <v>500</v>
      </c>
      <c r="O130" s="141" t="s">
        <v>206</v>
      </c>
      <c r="P130" s="232"/>
      <c r="Q130" s="280"/>
      <c r="R130" s="73"/>
      <c r="S130" s="278"/>
      <c r="T130" s="278"/>
      <c r="U130" s="278"/>
      <c r="V130" s="278"/>
      <c r="W130" s="278"/>
      <c r="X130" s="75"/>
      <c r="Y130" s="75"/>
      <c r="Z130" s="75"/>
      <c r="AA130" s="75"/>
    </row>
    <row r="131" spans="1:27" ht="12.75" customHeight="1" x14ac:dyDescent="0.4">
      <c r="A131" s="73" t="s">
        <v>130</v>
      </c>
      <c r="B131" s="87">
        <v>73</v>
      </c>
      <c r="C131" s="87">
        <v>66</v>
      </c>
      <c r="D131" s="87">
        <v>6</v>
      </c>
      <c r="E131" s="87">
        <v>1</v>
      </c>
      <c r="F131" s="86"/>
      <c r="G131" s="75">
        <v>0.98648648648648651</v>
      </c>
      <c r="H131" s="75">
        <v>0.90410958904109584</v>
      </c>
      <c r="I131" s="75">
        <v>8.2191780821917804E-2</v>
      </c>
      <c r="J131" s="75">
        <v>1.3698630136986301E-2</v>
      </c>
      <c r="K131" s="75"/>
      <c r="L131" s="75"/>
      <c r="M131" s="6" t="s">
        <v>533</v>
      </c>
      <c r="N131" s="139">
        <v>219</v>
      </c>
      <c r="O131" s="140">
        <v>0.438</v>
      </c>
      <c r="P131" s="163"/>
      <c r="Q131" s="280"/>
      <c r="R131" s="73"/>
      <c r="S131" s="278"/>
      <c r="T131" s="278"/>
      <c r="U131" s="278"/>
      <c r="V131" s="278"/>
      <c r="W131" s="278"/>
      <c r="X131" s="75"/>
      <c r="Y131" s="75"/>
      <c r="Z131" s="75"/>
      <c r="AA131" s="75"/>
    </row>
    <row r="132" spans="1:27" s="82" customFormat="1" ht="12.75" customHeight="1" x14ac:dyDescent="0.4">
      <c r="A132" s="73" t="s">
        <v>131</v>
      </c>
      <c r="B132" s="87">
        <v>60</v>
      </c>
      <c r="C132" s="87">
        <v>54</v>
      </c>
      <c r="D132" s="87">
        <v>5</v>
      </c>
      <c r="E132" s="87">
        <v>1</v>
      </c>
      <c r="F132" s="86"/>
      <c r="G132" s="75">
        <v>0.95238095238095233</v>
      </c>
      <c r="H132" s="75">
        <v>0.9</v>
      </c>
      <c r="I132" s="75">
        <v>8.3333333333333329E-2</v>
      </c>
      <c r="J132" s="75">
        <v>1.6666666666666666E-2</v>
      </c>
      <c r="K132" s="75"/>
      <c r="L132" s="75"/>
      <c r="M132" s="6" t="s">
        <v>230</v>
      </c>
      <c r="N132" s="139">
        <v>29</v>
      </c>
      <c r="O132" s="140">
        <v>5.8000000000000003E-2</v>
      </c>
      <c r="P132" s="163"/>
      <c r="Q132" s="280"/>
      <c r="R132" s="73"/>
      <c r="S132" s="278"/>
      <c r="T132" s="278"/>
      <c r="U132" s="278"/>
      <c r="V132" s="278"/>
      <c r="W132" s="278"/>
      <c r="X132" s="75"/>
      <c r="Y132" s="75"/>
      <c r="Z132" s="75"/>
      <c r="AA132" s="75"/>
    </row>
    <row r="133" spans="1:27" s="82" customFormat="1" ht="12.75" customHeight="1" x14ac:dyDescent="0.4">
      <c r="A133" s="73" t="s">
        <v>132</v>
      </c>
      <c r="B133" s="87">
        <v>32</v>
      </c>
      <c r="C133" s="87">
        <v>25</v>
      </c>
      <c r="D133" s="87">
        <v>7</v>
      </c>
      <c r="E133" s="87">
        <v>0</v>
      </c>
      <c r="F133" s="86"/>
      <c r="G133" s="75">
        <v>1</v>
      </c>
      <c r="H133" s="75">
        <v>0.78125</v>
      </c>
      <c r="I133" s="75">
        <v>0.21875</v>
      </c>
      <c r="J133" s="75">
        <v>0</v>
      </c>
      <c r="K133" s="75"/>
      <c r="L133" s="75"/>
      <c r="M133" s="6" t="s">
        <v>534</v>
      </c>
      <c r="N133" s="139">
        <v>258</v>
      </c>
      <c r="O133" s="140">
        <v>0.51600000000000001</v>
      </c>
      <c r="P133"/>
      <c r="Q133"/>
      <c r="R133" s="73"/>
      <c r="S133" s="278"/>
      <c r="T133" s="278"/>
      <c r="U133" s="278"/>
      <c r="V133" s="278"/>
      <c r="W133" s="281"/>
      <c r="X133" s="75"/>
      <c r="Y133" s="75"/>
      <c r="Z133" s="75"/>
      <c r="AA133" s="75"/>
    </row>
    <row r="134" spans="1:27" s="82" customFormat="1" ht="12.75" customHeight="1" x14ac:dyDescent="0.4">
      <c r="A134" s="73" t="s">
        <v>133</v>
      </c>
      <c r="B134" s="87">
        <v>62</v>
      </c>
      <c r="C134" s="87">
        <v>50</v>
      </c>
      <c r="D134" s="87">
        <v>11</v>
      </c>
      <c r="E134" s="87">
        <v>1</v>
      </c>
      <c r="F134" s="86"/>
      <c r="G134" s="75">
        <v>0.98412698412698407</v>
      </c>
      <c r="H134" s="75">
        <v>0.80645161290322576</v>
      </c>
      <c r="I134" s="75">
        <v>0.17741935483870969</v>
      </c>
      <c r="J134" s="75">
        <v>1.6129032258064516E-2</v>
      </c>
      <c r="K134" s="75"/>
      <c r="L134" s="75"/>
      <c r="M134" s="6" t="s">
        <v>231</v>
      </c>
      <c r="N134" s="139">
        <v>52</v>
      </c>
      <c r="O134" s="140">
        <v>0.104</v>
      </c>
      <c r="P134"/>
      <c r="Q134"/>
      <c r="R134" s="73"/>
      <c r="S134" s="278"/>
      <c r="T134" s="278"/>
      <c r="U134" s="278"/>
      <c r="V134" s="278"/>
      <c r="W134" s="281"/>
      <c r="X134" s="75"/>
      <c r="Y134" s="75"/>
      <c r="Z134" s="75"/>
      <c r="AA134" s="75"/>
    </row>
    <row r="135" spans="1:27" s="82" customFormat="1" ht="12.75" customHeight="1" x14ac:dyDescent="0.4">
      <c r="A135" s="73" t="s">
        <v>134</v>
      </c>
      <c r="B135" s="87">
        <v>64</v>
      </c>
      <c r="C135" s="87">
        <v>61</v>
      </c>
      <c r="D135" s="87">
        <v>2</v>
      </c>
      <c r="E135" s="87">
        <v>1</v>
      </c>
      <c r="F135" s="87"/>
      <c r="G135" s="75">
        <v>0.98461538461538467</v>
      </c>
      <c r="H135" s="75">
        <v>0.953125</v>
      </c>
      <c r="I135" s="75">
        <v>3.125E-2</v>
      </c>
      <c r="J135" s="75">
        <v>1.5625E-2</v>
      </c>
      <c r="K135" s="75"/>
      <c r="L135" s="75"/>
      <c r="M135" s="6"/>
      <c r="N135" s="139"/>
      <c r="O135" s="140"/>
      <c r="P135"/>
      <c r="Q135"/>
      <c r="R135" s="73"/>
      <c r="S135" s="278"/>
      <c r="T135" s="278"/>
      <c r="U135" s="278"/>
      <c r="V135" s="278"/>
      <c r="W135" s="281"/>
      <c r="X135" s="75"/>
      <c r="Y135" s="75"/>
      <c r="Z135" s="75"/>
      <c r="AA135" s="75"/>
    </row>
    <row r="136" spans="1:27" ht="12.75" customHeight="1" x14ac:dyDescent="0.4">
      <c r="A136" s="73" t="s">
        <v>135</v>
      </c>
      <c r="B136" s="87">
        <v>73</v>
      </c>
      <c r="C136" s="87">
        <v>67</v>
      </c>
      <c r="D136" s="87">
        <v>4</v>
      </c>
      <c r="E136" s="87">
        <v>2</v>
      </c>
      <c r="F136" s="87"/>
      <c r="G136" s="75">
        <v>0.98648648648648651</v>
      </c>
      <c r="H136" s="75">
        <v>0.9178082191780822</v>
      </c>
      <c r="I136" s="75">
        <v>5.4794520547945202E-2</v>
      </c>
      <c r="J136" s="75">
        <v>2.7397260273972601E-2</v>
      </c>
      <c r="K136" s="75"/>
      <c r="L136" s="75"/>
      <c r="M136" s="6" t="s">
        <v>535</v>
      </c>
      <c r="N136" s="138" t="s">
        <v>441</v>
      </c>
      <c r="O136" s="141" t="s">
        <v>206</v>
      </c>
      <c r="R136" s="73"/>
      <c r="S136" s="278"/>
      <c r="T136" s="278"/>
      <c r="U136" s="278"/>
      <c r="V136" s="278"/>
      <c r="W136" s="281"/>
      <c r="X136" s="75"/>
      <c r="Y136" s="75"/>
      <c r="Z136" s="75"/>
      <c r="AA136" s="75"/>
    </row>
    <row r="137" spans="1:27" ht="12.75" customHeight="1" x14ac:dyDescent="0.4">
      <c r="A137" s="73" t="s">
        <v>382</v>
      </c>
      <c r="B137" s="87">
        <v>25</v>
      </c>
      <c r="C137" s="87">
        <v>22</v>
      </c>
      <c r="D137" s="87">
        <v>1</v>
      </c>
      <c r="E137" s="87">
        <v>2</v>
      </c>
      <c r="F137" s="87"/>
      <c r="G137" s="75">
        <v>0.96153846153846156</v>
      </c>
      <c r="H137" s="75">
        <v>0.88</v>
      </c>
      <c r="I137" s="75">
        <v>0.04</v>
      </c>
      <c r="J137" s="75">
        <v>0.08</v>
      </c>
      <c r="K137" s="75"/>
      <c r="L137" s="75"/>
      <c r="M137" s="6" t="s">
        <v>536</v>
      </c>
      <c r="N137" s="241">
        <v>20</v>
      </c>
      <c r="O137" s="140">
        <v>0.04</v>
      </c>
      <c r="R137" s="73"/>
      <c r="S137" s="278"/>
      <c r="T137" s="278"/>
      <c r="U137" s="278"/>
      <c r="V137" s="278"/>
      <c r="W137" s="281"/>
      <c r="X137" s="75"/>
      <c r="Y137" s="75"/>
      <c r="Z137" s="75"/>
      <c r="AA137" s="75"/>
    </row>
    <row r="138" spans="1:27" ht="12.75" customHeight="1" x14ac:dyDescent="0.4">
      <c r="A138" s="73" t="s">
        <v>136</v>
      </c>
      <c r="B138" s="87">
        <v>28</v>
      </c>
      <c r="C138" s="87">
        <v>21</v>
      </c>
      <c r="D138" s="87">
        <v>6</v>
      </c>
      <c r="E138" s="87">
        <v>1</v>
      </c>
      <c r="F138" s="87"/>
      <c r="G138" s="75">
        <v>1</v>
      </c>
      <c r="H138" s="75">
        <v>0.75</v>
      </c>
      <c r="I138" s="75">
        <v>0.21428571428571427</v>
      </c>
      <c r="J138" s="75">
        <v>3.5714285714285712E-2</v>
      </c>
      <c r="K138" s="75"/>
      <c r="L138" s="75"/>
      <c r="M138" s="6"/>
      <c r="N138" s="139"/>
      <c r="O138" s="140"/>
      <c r="P138" s="92"/>
      <c r="R138" s="73"/>
      <c r="S138" s="281"/>
      <c r="T138" s="278"/>
      <c r="U138" s="278"/>
      <c r="V138" s="281"/>
      <c r="W138" s="72"/>
      <c r="X138" s="75"/>
      <c r="Y138" s="75"/>
      <c r="Z138" s="75"/>
      <c r="AA138" s="75"/>
    </row>
    <row r="139" spans="1:27" ht="12.75" customHeight="1" x14ac:dyDescent="0.4">
      <c r="A139" s="73" t="s">
        <v>308</v>
      </c>
      <c r="B139" s="87">
        <v>30</v>
      </c>
      <c r="C139" s="87">
        <v>18</v>
      </c>
      <c r="D139" s="87">
        <v>8</v>
      </c>
      <c r="E139" s="87">
        <v>4</v>
      </c>
      <c r="F139" s="87"/>
      <c r="G139" s="75">
        <v>1.0344827586206897</v>
      </c>
      <c r="H139" s="75">
        <v>0.6</v>
      </c>
      <c r="I139" s="75">
        <v>0.26666666666666666</v>
      </c>
      <c r="J139" s="75">
        <v>0.13333333333333333</v>
      </c>
      <c r="K139" s="72"/>
      <c r="L139" s="72"/>
      <c r="M139" s="6"/>
      <c r="N139" s="139"/>
      <c r="O139" s="140"/>
      <c r="S139" s="82"/>
    </row>
    <row r="140" spans="1:27" ht="12.75" customHeight="1" x14ac:dyDescent="0.4">
      <c r="A140" s="73" t="s">
        <v>24</v>
      </c>
      <c r="B140" s="87">
        <v>499</v>
      </c>
      <c r="C140" s="87">
        <v>426</v>
      </c>
      <c r="D140" s="87">
        <v>56</v>
      </c>
      <c r="E140" s="87">
        <v>17</v>
      </c>
      <c r="F140" s="72"/>
      <c r="G140" s="75">
        <v>0.98811881188118811</v>
      </c>
      <c r="H140" s="75">
        <v>0.85370741482965928</v>
      </c>
      <c r="I140" s="75">
        <v>0.11222444889779559</v>
      </c>
      <c r="J140" s="75">
        <v>3.406813627254509E-2</v>
      </c>
      <c r="K140" s="72"/>
      <c r="L140" s="72"/>
      <c r="M140" s="6"/>
      <c r="N140" s="75"/>
      <c r="O140" s="75"/>
      <c r="S140" s="82"/>
    </row>
    <row r="141" spans="1:27" ht="12.75" customHeight="1" x14ac:dyDescent="0.4">
      <c r="A141" s="73"/>
      <c r="B141" s="87"/>
      <c r="C141" s="87"/>
      <c r="D141" s="87"/>
      <c r="E141" s="87"/>
      <c r="F141" s="72"/>
      <c r="G141" s="75"/>
      <c r="H141" s="75"/>
      <c r="I141" s="75"/>
      <c r="J141" s="75"/>
      <c r="K141" s="72"/>
      <c r="L141" s="72"/>
      <c r="M141" s="6"/>
      <c r="N141" s="75"/>
      <c r="O141" s="75"/>
      <c r="P141" s="72"/>
      <c r="Q141" s="72"/>
      <c r="R141" s="73"/>
      <c r="S141" s="72"/>
      <c r="T141" s="72"/>
      <c r="U141" s="72"/>
      <c r="V141" s="72"/>
      <c r="W141" s="72"/>
      <c r="X141" s="72"/>
      <c r="Y141" s="72"/>
      <c r="Z141" s="72"/>
      <c r="AA141" s="72"/>
    </row>
    <row r="142" spans="1:27" ht="12.75" customHeight="1" x14ac:dyDescent="0.4">
      <c r="A142" s="277"/>
      <c r="B142" s="72"/>
      <c r="C142" s="72"/>
      <c r="D142" s="72"/>
      <c r="E142" s="72"/>
      <c r="F142" s="72"/>
      <c r="G142" s="73"/>
      <c r="H142" s="72"/>
      <c r="I142" s="72"/>
      <c r="J142" s="72"/>
      <c r="K142" s="72"/>
      <c r="L142" s="72"/>
      <c r="M142" s="142"/>
      <c r="N142" s="142"/>
      <c r="O142" s="142"/>
      <c r="P142" s="72"/>
      <c r="Q142" s="72"/>
      <c r="R142" s="73"/>
      <c r="S142" s="72"/>
      <c r="T142" s="72"/>
      <c r="U142" s="72"/>
      <c r="V142" s="72"/>
      <c r="W142" s="72"/>
      <c r="X142" s="72"/>
      <c r="Y142" s="72"/>
      <c r="Z142" s="72"/>
      <c r="AA142" s="72"/>
    </row>
    <row r="143" spans="1:27" ht="12.75" customHeight="1" x14ac:dyDescent="0.4">
      <c r="A143" s="73" t="s">
        <v>499</v>
      </c>
      <c r="B143" s="72"/>
      <c r="C143" s="72"/>
      <c r="D143" s="72"/>
      <c r="E143" s="72"/>
      <c r="F143" s="72"/>
      <c r="G143" s="72"/>
      <c r="H143" s="72"/>
      <c r="I143" s="72"/>
      <c r="J143" s="72"/>
      <c r="K143" s="72"/>
      <c r="L143" s="74"/>
      <c r="M143" s="142"/>
      <c r="N143" s="142"/>
      <c r="O143" s="142"/>
      <c r="R143" s="73"/>
      <c r="S143" s="72"/>
      <c r="T143" s="72"/>
      <c r="U143" s="72"/>
      <c r="V143" s="72"/>
      <c r="W143" s="86"/>
      <c r="X143" s="72"/>
      <c r="Y143" s="72"/>
      <c r="Z143" s="72"/>
      <c r="AA143" s="72"/>
    </row>
    <row r="144" spans="1:27" ht="12.75" customHeight="1" x14ac:dyDescent="0.4">
      <c r="A144" s="73" t="s">
        <v>527</v>
      </c>
      <c r="B144" s="72"/>
      <c r="C144" s="72"/>
      <c r="D144" s="72"/>
      <c r="E144" s="72"/>
      <c r="F144" s="72"/>
      <c r="G144" s="72"/>
      <c r="H144" s="72"/>
      <c r="I144" s="72"/>
      <c r="J144" s="72"/>
      <c r="K144" s="74"/>
      <c r="L144" s="75"/>
      <c r="M144" s="142"/>
      <c r="N144" s="142"/>
      <c r="O144" s="142"/>
      <c r="R144" s="73"/>
      <c r="S144" s="74"/>
      <c r="T144" s="74"/>
      <c r="U144" s="74"/>
      <c r="V144" s="74"/>
      <c r="W144" s="86"/>
      <c r="X144" s="74"/>
      <c r="Y144" s="74"/>
      <c r="Z144" s="74"/>
      <c r="AA144" s="74"/>
    </row>
    <row r="145" spans="1:27" ht="12.75" customHeight="1" x14ac:dyDescent="0.4">
      <c r="A145" s="73" t="s">
        <v>528</v>
      </c>
      <c r="B145" s="72"/>
      <c r="C145" s="72"/>
      <c r="D145" s="72"/>
      <c r="E145" s="72"/>
      <c r="F145" s="72"/>
      <c r="G145" s="72"/>
      <c r="H145" s="72"/>
      <c r="I145" s="72"/>
      <c r="J145" s="72"/>
      <c r="K145" s="75"/>
      <c r="L145" s="75"/>
      <c r="M145" s="142"/>
      <c r="N145" s="142"/>
      <c r="O145" s="142"/>
      <c r="R145" s="73"/>
      <c r="S145" s="86"/>
      <c r="T145" s="86"/>
      <c r="U145" s="86"/>
      <c r="V145" s="86"/>
      <c r="W145" s="86"/>
      <c r="X145" s="75"/>
      <c r="Y145" s="75"/>
      <c r="Z145" s="75"/>
      <c r="AA145" s="75"/>
    </row>
    <row r="146" spans="1:27" ht="12.75" customHeight="1" x14ac:dyDescent="0.4">
      <c r="A146" s="73"/>
      <c r="B146" s="72" t="s">
        <v>141</v>
      </c>
      <c r="C146" s="72"/>
      <c r="D146" s="72"/>
      <c r="E146" s="72"/>
      <c r="F146" s="278"/>
      <c r="G146" s="72" t="s">
        <v>148</v>
      </c>
      <c r="H146" s="72"/>
      <c r="I146" s="72"/>
      <c r="J146" s="72"/>
      <c r="K146" s="75"/>
      <c r="L146" s="75"/>
      <c r="M146" s="142" t="s">
        <v>499</v>
      </c>
      <c r="N146" s="142"/>
      <c r="O146" s="142"/>
      <c r="P146" s="163"/>
      <c r="R146" s="73"/>
      <c r="S146" s="86"/>
      <c r="T146" s="86"/>
      <c r="U146" s="86"/>
      <c r="V146" s="86"/>
      <c r="W146" s="86"/>
      <c r="X146" s="75"/>
      <c r="Y146" s="75"/>
      <c r="Z146" s="75"/>
      <c r="AA146" s="75"/>
    </row>
    <row r="147" spans="1:27" ht="12.75" customHeight="1" x14ac:dyDescent="0.4">
      <c r="A147" s="73" t="s">
        <v>137</v>
      </c>
      <c r="B147" s="74" t="s">
        <v>113</v>
      </c>
      <c r="C147" s="74" t="s">
        <v>114</v>
      </c>
      <c r="D147" s="74" t="s">
        <v>115</v>
      </c>
      <c r="E147" s="74" t="s">
        <v>116</v>
      </c>
      <c r="F147" s="278"/>
      <c r="G147" s="74" t="s">
        <v>113</v>
      </c>
      <c r="H147" s="74" t="s">
        <v>114</v>
      </c>
      <c r="I147" s="74" t="s">
        <v>115</v>
      </c>
      <c r="J147" s="74" t="s">
        <v>116</v>
      </c>
      <c r="K147" s="75"/>
      <c r="L147" s="75"/>
      <c r="M147" s="142" t="s">
        <v>500</v>
      </c>
      <c r="N147" s="279"/>
      <c r="O147" s="280"/>
      <c r="P147" s="163"/>
      <c r="Q147" s="140"/>
      <c r="R147" s="73"/>
      <c r="S147" s="86"/>
      <c r="T147" s="86"/>
      <c r="U147" s="86"/>
      <c r="V147" s="86"/>
      <c r="W147" s="86"/>
      <c r="X147" s="75"/>
      <c r="Y147" s="75"/>
      <c r="Z147" s="75"/>
      <c r="AA147" s="75"/>
    </row>
    <row r="148" spans="1:27" ht="12.75" customHeight="1" x14ac:dyDescent="0.4">
      <c r="A148" s="73" t="s">
        <v>128</v>
      </c>
      <c r="B148" s="281">
        <v>24</v>
      </c>
      <c r="C148" s="281">
        <v>12</v>
      </c>
      <c r="D148" s="281">
        <v>11</v>
      </c>
      <c r="E148" s="281">
        <v>1</v>
      </c>
      <c r="F148" s="278"/>
      <c r="G148" s="75">
        <v>0.96</v>
      </c>
      <c r="H148" s="75">
        <v>0.5</v>
      </c>
      <c r="I148" s="75">
        <v>0.45833333333333331</v>
      </c>
      <c r="J148" s="75">
        <v>4.1666666666666664E-2</v>
      </c>
      <c r="K148" s="75"/>
      <c r="L148" s="75"/>
      <c r="M148" s="142" t="s">
        <v>448</v>
      </c>
      <c r="N148" s="142"/>
      <c r="O148" s="142"/>
      <c r="P148" s="232"/>
      <c r="Q148" s="140"/>
      <c r="R148" s="73"/>
      <c r="S148" s="86"/>
      <c r="T148" s="86"/>
      <c r="U148" s="86"/>
      <c r="V148" s="86"/>
      <c r="W148" s="86"/>
      <c r="X148" s="75"/>
      <c r="Y148" s="75"/>
      <c r="Z148" s="75"/>
      <c r="AA148" s="75"/>
    </row>
    <row r="149" spans="1:27" ht="12.75" customHeight="1" x14ac:dyDescent="0.4">
      <c r="A149" s="73" t="s">
        <v>129</v>
      </c>
      <c r="B149" s="281">
        <v>28</v>
      </c>
      <c r="C149" s="281">
        <v>22</v>
      </c>
      <c r="D149" s="281">
        <v>6</v>
      </c>
      <c r="E149" s="281">
        <v>0</v>
      </c>
      <c r="F149" s="278"/>
      <c r="G149" s="75">
        <v>1</v>
      </c>
      <c r="H149" s="75">
        <v>0.7857142857142857</v>
      </c>
      <c r="I149" s="75">
        <v>0.21428571428571427</v>
      </c>
      <c r="J149" s="75">
        <v>0</v>
      </c>
      <c r="K149" s="75"/>
      <c r="L149" s="75"/>
      <c r="M149" s="142" t="s">
        <v>205</v>
      </c>
      <c r="N149" s="157">
        <v>499</v>
      </c>
      <c r="O149" s="171" t="s">
        <v>206</v>
      </c>
      <c r="P149" s="163"/>
      <c r="Q149" s="140"/>
      <c r="R149" s="73"/>
      <c r="S149" s="86"/>
      <c r="T149" s="86"/>
      <c r="U149" s="86"/>
      <c r="V149" s="86"/>
      <c r="W149" s="86"/>
      <c r="X149" s="75"/>
      <c r="Y149" s="75"/>
      <c r="Z149" s="75"/>
      <c r="AA149" s="75"/>
    </row>
    <row r="150" spans="1:27" s="53" customFormat="1" ht="12.75" customHeight="1" x14ac:dyDescent="0.4">
      <c r="A150" s="73" t="s">
        <v>130</v>
      </c>
      <c r="B150" s="281">
        <v>73</v>
      </c>
      <c r="C150" s="281">
        <v>56</v>
      </c>
      <c r="D150" s="281">
        <v>14</v>
      </c>
      <c r="E150" s="281">
        <v>3</v>
      </c>
      <c r="F150" s="278"/>
      <c r="G150" s="75">
        <v>1</v>
      </c>
      <c r="H150" s="75">
        <v>0.76712328767123283</v>
      </c>
      <c r="I150" s="75">
        <v>0.19178082191780821</v>
      </c>
      <c r="J150" s="75">
        <v>4.1095890410958902E-2</v>
      </c>
      <c r="K150" s="75"/>
      <c r="L150" s="75"/>
      <c r="M150" s="142" t="s">
        <v>501</v>
      </c>
      <c r="N150" s="279">
        <v>258</v>
      </c>
      <c r="O150" s="280">
        <v>0.51703406813627251</v>
      </c>
      <c r="P150" s="163"/>
      <c r="Q150" s="140"/>
      <c r="R150" s="73"/>
      <c r="S150" s="86"/>
      <c r="T150" s="86"/>
      <c r="U150" s="86"/>
      <c r="V150" s="86"/>
      <c r="W150" s="86"/>
      <c r="X150" s="75"/>
      <c r="Y150" s="75"/>
      <c r="Z150" s="75"/>
      <c r="AA150" s="75"/>
    </row>
    <row r="151" spans="1:27" s="53" customFormat="1" ht="12.75" customHeight="1" x14ac:dyDescent="0.4">
      <c r="A151" s="73" t="s">
        <v>131</v>
      </c>
      <c r="B151" s="281">
        <v>59</v>
      </c>
      <c r="C151" s="281">
        <v>43</v>
      </c>
      <c r="D151" s="281">
        <v>16</v>
      </c>
      <c r="E151" s="281">
        <v>0</v>
      </c>
      <c r="F151" s="278"/>
      <c r="G151" s="75">
        <v>0.95161290322580649</v>
      </c>
      <c r="H151" s="75">
        <v>0.72881355932203384</v>
      </c>
      <c r="I151" s="75">
        <v>0.2711864406779661</v>
      </c>
      <c r="J151" s="75">
        <v>0</v>
      </c>
      <c r="K151" s="75"/>
      <c r="L151" s="75"/>
      <c r="M151" s="142" t="s">
        <v>230</v>
      </c>
      <c r="N151" s="279">
        <v>30</v>
      </c>
      <c r="O151" s="280">
        <v>6.0120240480961921E-2</v>
      </c>
      <c r="P151"/>
      <c r="Q151"/>
      <c r="R151" s="73"/>
      <c r="S151" s="86"/>
      <c r="T151" s="86"/>
      <c r="U151" s="86"/>
      <c r="V151" s="86"/>
      <c r="W151" s="87"/>
      <c r="X151" s="75"/>
      <c r="Y151" s="75"/>
      <c r="Z151" s="75"/>
      <c r="AA151" s="75"/>
    </row>
    <row r="152" spans="1:27" s="53" customFormat="1" ht="12.75" customHeight="1" x14ac:dyDescent="0.4">
      <c r="A152" s="73" t="s">
        <v>132</v>
      </c>
      <c r="B152" s="281">
        <v>32</v>
      </c>
      <c r="C152" s="281">
        <v>24</v>
      </c>
      <c r="D152" s="281">
        <v>6</v>
      </c>
      <c r="E152" s="281">
        <v>2</v>
      </c>
      <c r="F152" s="278"/>
      <c r="G152" s="75">
        <v>1</v>
      </c>
      <c r="H152" s="75">
        <v>0.75</v>
      </c>
      <c r="I152" s="75">
        <v>0.1875</v>
      </c>
      <c r="J152" s="75">
        <v>6.25E-2</v>
      </c>
      <c r="K152" s="75"/>
      <c r="L152" s="75"/>
      <c r="M152" s="142" t="s">
        <v>502</v>
      </c>
      <c r="N152" s="279">
        <v>222</v>
      </c>
      <c r="O152" s="280">
        <v>0.44488977955911824</v>
      </c>
      <c r="P152"/>
      <c r="Q152"/>
      <c r="R152" s="73"/>
      <c r="S152" s="86"/>
      <c r="T152" s="86"/>
      <c r="U152" s="86"/>
      <c r="V152" s="86"/>
      <c r="W152" s="87"/>
      <c r="X152" s="75"/>
      <c r="Y152" s="75"/>
      <c r="Z152" s="75"/>
      <c r="AA152" s="75"/>
    </row>
    <row r="153" spans="1:27" s="53" customFormat="1" ht="12.75" customHeight="1" x14ac:dyDescent="0.4">
      <c r="A153" s="73" t="s">
        <v>133</v>
      </c>
      <c r="B153" s="281">
        <v>63</v>
      </c>
      <c r="C153" s="281">
        <v>50</v>
      </c>
      <c r="D153" s="281">
        <v>12</v>
      </c>
      <c r="E153" s="281">
        <v>1</v>
      </c>
      <c r="F153" s="278"/>
      <c r="G153" s="75">
        <v>1</v>
      </c>
      <c r="H153" s="75">
        <v>0.79365079365079361</v>
      </c>
      <c r="I153" s="75">
        <v>0.19047619047619047</v>
      </c>
      <c r="J153" s="75">
        <v>1.5873015873015872E-2</v>
      </c>
      <c r="K153" s="75"/>
      <c r="L153" s="75"/>
      <c r="M153" s="142" t="s">
        <v>231</v>
      </c>
      <c r="N153" s="279">
        <v>45</v>
      </c>
      <c r="O153" s="280">
        <v>9.0180360721442893E-2</v>
      </c>
      <c r="P153"/>
      <c r="Q153"/>
      <c r="R153" s="73"/>
      <c r="S153" s="86"/>
      <c r="T153" s="86"/>
      <c r="U153" s="86"/>
      <c r="V153" s="86"/>
      <c r="W153" s="87"/>
      <c r="X153" s="75"/>
      <c r="Y153" s="75"/>
      <c r="Z153" s="75"/>
      <c r="AA153" s="75"/>
    </row>
    <row r="154" spans="1:27" ht="12.75" customHeight="1" x14ac:dyDescent="0.4">
      <c r="A154" s="73" t="s">
        <v>134</v>
      </c>
      <c r="B154" s="281">
        <v>65</v>
      </c>
      <c r="C154" s="281">
        <v>54</v>
      </c>
      <c r="D154" s="281">
        <v>10</v>
      </c>
      <c r="E154" s="281">
        <v>1</v>
      </c>
      <c r="F154" s="281"/>
      <c r="G154" s="75">
        <v>1</v>
      </c>
      <c r="H154" s="75">
        <v>0.83076923076923082</v>
      </c>
      <c r="I154" s="75">
        <v>0.15384615384615385</v>
      </c>
      <c r="J154" s="75">
        <v>1.5384615384615385E-2</v>
      </c>
      <c r="K154" s="75"/>
      <c r="L154" s="75"/>
      <c r="M154" s="142"/>
      <c r="N154" s="279"/>
      <c r="O154" s="280"/>
      <c r="R154" s="73"/>
      <c r="S154" s="86"/>
      <c r="T154" s="86"/>
      <c r="U154" s="86"/>
      <c r="V154" s="86"/>
      <c r="W154" s="87"/>
      <c r="X154" s="75"/>
      <c r="Y154" s="75"/>
      <c r="Z154" s="75"/>
      <c r="AA154" s="75"/>
    </row>
    <row r="155" spans="1:27" ht="12.75" customHeight="1" x14ac:dyDescent="0.4">
      <c r="A155" s="73" t="s">
        <v>135</v>
      </c>
      <c r="B155" s="281">
        <v>73</v>
      </c>
      <c r="C155" s="281">
        <v>68</v>
      </c>
      <c r="D155" s="281">
        <v>4</v>
      </c>
      <c r="E155" s="281">
        <v>1</v>
      </c>
      <c r="F155" s="281"/>
      <c r="G155" s="75">
        <v>1</v>
      </c>
      <c r="H155" s="75">
        <v>0.93150684931506844</v>
      </c>
      <c r="I155" s="75">
        <v>5.4794520547945202E-2</v>
      </c>
      <c r="J155" s="75">
        <v>1.3698630136986301E-2</v>
      </c>
      <c r="K155" s="75"/>
      <c r="L155" s="75"/>
      <c r="M155" s="142" t="s">
        <v>503</v>
      </c>
      <c r="N155" s="266" t="s">
        <v>441</v>
      </c>
      <c r="O155" s="171" t="s">
        <v>206</v>
      </c>
      <c r="R155" s="73"/>
      <c r="S155" s="86"/>
      <c r="T155" s="86"/>
      <c r="U155" s="86"/>
      <c r="V155" s="86"/>
      <c r="W155" s="87"/>
      <c r="X155" s="75"/>
      <c r="Y155" s="75"/>
      <c r="Z155" s="75"/>
      <c r="AA155" s="75"/>
    </row>
    <row r="156" spans="1:27" ht="12.75" customHeight="1" x14ac:dyDescent="0.4">
      <c r="A156" s="73" t="s">
        <v>382</v>
      </c>
      <c r="B156" s="281">
        <v>25</v>
      </c>
      <c r="C156" s="281">
        <v>24</v>
      </c>
      <c r="D156" s="281">
        <v>1</v>
      </c>
      <c r="E156" s="281">
        <v>0</v>
      </c>
      <c r="F156" s="281"/>
      <c r="G156" s="75">
        <v>0.96153846153846156</v>
      </c>
      <c r="H156" s="75">
        <v>0.96</v>
      </c>
      <c r="I156" s="75">
        <v>0.04</v>
      </c>
      <c r="J156" s="75">
        <v>0</v>
      </c>
      <c r="K156" s="75"/>
      <c r="L156" s="75"/>
      <c r="M156" s="142" t="s">
        <v>513</v>
      </c>
      <c r="N156" s="282">
        <v>19</v>
      </c>
      <c r="O156" s="280">
        <v>3.8076152304609222E-2</v>
      </c>
      <c r="P156" s="92"/>
      <c r="R156" s="73"/>
      <c r="S156" s="87"/>
      <c r="T156" s="86"/>
      <c r="U156" s="86"/>
      <c r="V156" s="87"/>
      <c r="W156" s="72"/>
      <c r="X156" s="75"/>
      <c r="Y156" s="75"/>
      <c r="Z156" s="75"/>
      <c r="AA156" s="75"/>
    </row>
    <row r="157" spans="1:27" ht="12.75" customHeight="1" x14ac:dyDescent="0.4">
      <c r="A157" s="73" t="s">
        <v>136</v>
      </c>
      <c r="B157" s="281">
        <v>28</v>
      </c>
      <c r="C157" s="281">
        <v>17</v>
      </c>
      <c r="D157" s="281">
        <v>6</v>
      </c>
      <c r="E157" s="281">
        <v>5</v>
      </c>
      <c r="F157" s="281"/>
      <c r="G157" s="75">
        <v>1</v>
      </c>
      <c r="H157" s="75">
        <v>0.6071428571428571</v>
      </c>
      <c r="I157" s="75">
        <v>0.21428571428571427</v>
      </c>
      <c r="J157" s="75">
        <v>0.17857142857142858</v>
      </c>
      <c r="K157" s="75"/>
      <c r="L157" s="75"/>
      <c r="M157" s="142"/>
      <c r="N157" s="279"/>
      <c r="O157" s="280"/>
      <c r="S157" s="53"/>
    </row>
    <row r="158" spans="1:27" ht="12.75" customHeight="1" x14ac:dyDescent="0.4">
      <c r="A158" s="73" t="s">
        <v>308</v>
      </c>
      <c r="B158" s="281">
        <v>30</v>
      </c>
      <c r="C158" s="281">
        <v>14</v>
      </c>
      <c r="D158" s="281">
        <v>12</v>
      </c>
      <c r="E158" s="281">
        <v>4</v>
      </c>
      <c r="F158" s="281"/>
      <c r="G158" s="75">
        <v>1</v>
      </c>
      <c r="H158" s="75">
        <v>0.46666666666666667</v>
      </c>
      <c r="I158" s="75">
        <v>0.4</v>
      </c>
      <c r="J158" s="75">
        <v>0.13333333333333333</v>
      </c>
      <c r="K158" s="75"/>
      <c r="L158" s="75"/>
      <c r="M158" s="142"/>
      <c r="N158" s="279"/>
      <c r="O158" s="280"/>
      <c r="S158" s="53"/>
    </row>
    <row r="159" spans="1:27" ht="12.75" customHeight="1" x14ac:dyDescent="0.4">
      <c r="A159" s="73" t="s">
        <v>24</v>
      </c>
      <c r="B159" s="281">
        <v>500</v>
      </c>
      <c r="C159" s="281">
        <v>384</v>
      </c>
      <c r="D159" s="281">
        <v>98</v>
      </c>
      <c r="E159" s="281">
        <v>18</v>
      </c>
      <c r="F159" s="72"/>
      <c r="G159" s="75">
        <v>0.99009900990099009</v>
      </c>
      <c r="H159" s="75">
        <v>0.76800000000000002</v>
      </c>
      <c r="I159" s="75">
        <v>0.19600000000000001</v>
      </c>
      <c r="J159" s="75">
        <v>3.5999999999999997E-2</v>
      </c>
      <c r="K159" s="72"/>
      <c r="L159" s="72"/>
      <c r="M159" s="142"/>
      <c r="N159" s="75"/>
      <c r="O159" s="75"/>
      <c r="P159" s="72"/>
      <c r="Q159" s="72"/>
      <c r="R159" s="73"/>
      <c r="S159" s="72"/>
      <c r="T159" s="72"/>
      <c r="U159" s="72"/>
      <c r="V159" s="72"/>
      <c r="W159" s="72"/>
      <c r="X159" s="72"/>
      <c r="Y159" s="72"/>
      <c r="Z159" s="72"/>
      <c r="AA159" s="72"/>
    </row>
    <row r="160" spans="1:27" ht="12.75" customHeight="1" x14ac:dyDescent="0.4">
      <c r="A160" s="73"/>
      <c r="B160" s="281"/>
      <c r="C160" s="278"/>
      <c r="D160" s="278"/>
      <c r="E160" s="281"/>
      <c r="F160" s="72"/>
      <c r="G160" s="75"/>
      <c r="H160" s="75"/>
      <c r="I160" s="75"/>
      <c r="J160" s="75"/>
      <c r="K160" s="72"/>
      <c r="L160" s="72"/>
      <c r="M160" s="142"/>
      <c r="N160" s="75"/>
      <c r="O160" s="75"/>
      <c r="R160" s="73"/>
      <c r="S160" s="72"/>
      <c r="T160" s="72"/>
      <c r="U160" s="72"/>
      <c r="V160" s="72"/>
      <c r="W160" s="86"/>
      <c r="X160" s="72"/>
      <c r="Y160" s="72"/>
      <c r="Z160" s="72"/>
      <c r="AA160" s="72"/>
    </row>
    <row r="161" spans="1:27" ht="12.75" customHeight="1" x14ac:dyDescent="0.4">
      <c r="A161" s="73"/>
      <c r="B161" s="281"/>
      <c r="C161" s="278"/>
      <c r="D161" s="278"/>
      <c r="E161" s="281"/>
      <c r="F161" s="72"/>
      <c r="G161" s="75"/>
      <c r="H161" s="75"/>
      <c r="I161" s="75"/>
      <c r="J161" s="75"/>
      <c r="K161" s="72"/>
      <c r="L161" s="74"/>
      <c r="M161" s="73"/>
      <c r="N161" s="283"/>
      <c r="O161" s="75"/>
      <c r="R161" s="73"/>
      <c r="S161" s="74"/>
      <c r="T161" s="74"/>
      <c r="U161" s="74"/>
      <c r="V161" s="74"/>
      <c r="W161" s="86"/>
      <c r="X161" s="74"/>
      <c r="Y161" s="74"/>
      <c r="Z161" s="74"/>
      <c r="AA161" s="74"/>
    </row>
    <row r="162" spans="1:27" ht="12.75" customHeight="1" x14ac:dyDescent="0.4">
      <c r="A162" s="73" t="s">
        <v>457</v>
      </c>
      <c r="B162" s="72"/>
      <c r="C162" s="72"/>
      <c r="D162" s="72"/>
      <c r="E162" s="72"/>
      <c r="F162" s="72"/>
      <c r="G162" s="72"/>
      <c r="H162" s="72"/>
      <c r="I162" s="72"/>
      <c r="J162" s="72"/>
      <c r="K162" s="74"/>
      <c r="L162" s="75"/>
      <c r="M162" s="6"/>
      <c r="N162" s="6"/>
      <c r="O162" s="6"/>
      <c r="R162" s="73"/>
      <c r="S162" s="86"/>
      <c r="T162" s="86"/>
      <c r="U162" s="86"/>
      <c r="V162" s="86"/>
      <c r="W162" s="86"/>
      <c r="X162" s="75"/>
      <c r="Y162" s="75"/>
      <c r="Z162" s="75"/>
      <c r="AA162" s="75"/>
    </row>
    <row r="163" spans="1:27" ht="12.75" customHeight="1" x14ac:dyDescent="0.4">
      <c r="A163" s="73" t="s">
        <v>380</v>
      </c>
      <c r="B163" s="72"/>
      <c r="C163" s="72"/>
      <c r="D163" s="72"/>
      <c r="E163" s="72"/>
      <c r="F163" s="72"/>
      <c r="G163" s="72"/>
      <c r="H163" s="72"/>
      <c r="I163" s="72"/>
      <c r="J163" s="72"/>
      <c r="K163" s="75"/>
      <c r="L163" s="75"/>
      <c r="M163" s="6"/>
      <c r="N163" s="6"/>
      <c r="O163" s="6"/>
      <c r="P163" s="163"/>
      <c r="R163" s="73"/>
      <c r="S163" s="86"/>
      <c r="T163" s="86"/>
      <c r="U163" s="86"/>
      <c r="V163" s="86"/>
      <c r="W163" s="86"/>
      <c r="X163" s="75"/>
      <c r="Y163" s="75"/>
      <c r="Z163" s="75"/>
      <c r="AA163" s="75"/>
    </row>
    <row r="164" spans="1:27" ht="12.75" customHeight="1" x14ac:dyDescent="0.4">
      <c r="A164" s="73" t="s">
        <v>498</v>
      </c>
      <c r="B164" s="72"/>
      <c r="C164" s="72"/>
      <c r="D164" s="72"/>
      <c r="E164" s="72"/>
      <c r="F164" s="72"/>
      <c r="G164" s="72"/>
      <c r="H164" s="72"/>
      <c r="I164" s="72"/>
      <c r="J164" s="72"/>
      <c r="K164" s="75"/>
      <c r="L164" s="75"/>
      <c r="M164" s="6"/>
      <c r="N164" s="6"/>
      <c r="O164" s="6"/>
      <c r="P164" s="163"/>
      <c r="Q164" s="170"/>
      <c r="R164" s="73"/>
      <c r="S164" s="86"/>
      <c r="T164" s="86"/>
      <c r="U164" s="86"/>
      <c r="V164" s="86"/>
      <c r="W164" s="86"/>
      <c r="X164" s="75"/>
      <c r="Y164" s="75"/>
      <c r="Z164" s="75"/>
      <c r="AA164" s="75"/>
    </row>
    <row r="165" spans="1:27" ht="12.75" customHeight="1" x14ac:dyDescent="0.4">
      <c r="A165" s="73"/>
      <c r="B165" s="72" t="s">
        <v>141</v>
      </c>
      <c r="C165" s="72"/>
      <c r="D165" s="72"/>
      <c r="E165" s="72"/>
      <c r="F165" s="86"/>
      <c r="G165" s="72" t="s">
        <v>148</v>
      </c>
      <c r="H165" s="72"/>
      <c r="I165" s="72"/>
      <c r="J165" s="72"/>
      <c r="K165" s="75"/>
      <c r="L165" s="75"/>
      <c r="M165" s="6" t="s">
        <v>457</v>
      </c>
      <c r="N165" s="6"/>
      <c r="O165" s="6"/>
      <c r="P165" s="232"/>
      <c r="Q165" s="170"/>
      <c r="R165" s="73"/>
      <c r="S165" s="86"/>
      <c r="T165" s="86"/>
      <c r="U165" s="86"/>
      <c r="V165" s="86"/>
      <c r="W165" s="86"/>
      <c r="X165" s="75"/>
      <c r="Y165" s="75"/>
      <c r="Z165" s="75"/>
      <c r="AA165" s="75"/>
    </row>
    <row r="166" spans="1:27" ht="12.75" customHeight="1" thickBot="1" x14ac:dyDescent="0.45">
      <c r="A166" s="73" t="s">
        <v>137</v>
      </c>
      <c r="B166" s="74" t="s">
        <v>113</v>
      </c>
      <c r="C166" s="74" t="s">
        <v>114</v>
      </c>
      <c r="D166" s="74" t="s">
        <v>115</v>
      </c>
      <c r="E166" s="74" t="s">
        <v>116</v>
      </c>
      <c r="F166" s="86"/>
      <c r="G166" s="74" t="s">
        <v>113</v>
      </c>
      <c r="H166" s="74" t="s">
        <v>114</v>
      </c>
      <c r="I166" s="74" t="s">
        <v>115</v>
      </c>
      <c r="J166" s="74" t="s">
        <v>116</v>
      </c>
      <c r="K166" s="75"/>
      <c r="L166" s="75"/>
      <c r="M166" s="6" t="s">
        <v>491</v>
      </c>
      <c r="N166" s="139"/>
      <c r="O166" s="140"/>
      <c r="P166" s="163"/>
      <c r="Q166" s="170"/>
      <c r="R166" s="73"/>
      <c r="S166" s="86"/>
      <c r="T166" s="86"/>
      <c r="U166" s="86"/>
      <c r="V166" s="86"/>
      <c r="W166" s="86"/>
      <c r="X166" s="75"/>
      <c r="Y166" s="75"/>
      <c r="Z166" s="75"/>
      <c r="AA166" s="75"/>
    </row>
    <row r="167" spans="1:27" s="82" customFormat="1" ht="12.75" customHeight="1" x14ac:dyDescent="0.4">
      <c r="A167" s="73" t="s">
        <v>128</v>
      </c>
      <c r="B167" s="249">
        <v>25</v>
      </c>
      <c r="C167" s="250">
        <v>18</v>
      </c>
      <c r="D167" s="251">
        <v>4</v>
      </c>
      <c r="E167" s="249">
        <v>3</v>
      </c>
      <c r="F167" s="86"/>
      <c r="G167" s="75">
        <v>0.96153846153846156</v>
      </c>
      <c r="H167" s="75">
        <v>0.72</v>
      </c>
      <c r="I167" s="75">
        <v>0.16</v>
      </c>
      <c r="J167" s="75">
        <v>0.12</v>
      </c>
      <c r="K167" s="75"/>
      <c r="L167" s="75"/>
      <c r="M167" s="6" t="s">
        <v>448</v>
      </c>
      <c r="N167" s="6"/>
      <c r="O167" s="6"/>
      <c r="P167" s="163"/>
      <c r="Q167" s="170"/>
      <c r="R167" s="73"/>
      <c r="S167" s="86"/>
      <c r="T167" s="86"/>
      <c r="U167" s="86"/>
      <c r="V167" s="86"/>
      <c r="W167" s="86"/>
      <c r="X167" s="75"/>
      <c r="Y167" s="75"/>
      <c r="Z167" s="75"/>
      <c r="AA167" s="75"/>
    </row>
    <row r="168" spans="1:27" s="82" customFormat="1" ht="12.75" customHeight="1" x14ac:dyDescent="0.4">
      <c r="A168" s="73" t="s">
        <v>129</v>
      </c>
      <c r="B168" s="252">
        <v>28</v>
      </c>
      <c r="C168" s="253">
        <v>24</v>
      </c>
      <c r="D168" s="254">
        <v>4</v>
      </c>
      <c r="E168" s="252">
        <v>0</v>
      </c>
      <c r="F168" s="86"/>
      <c r="G168" s="75">
        <v>1</v>
      </c>
      <c r="H168" s="75">
        <v>0.8571428571428571</v>
      </c>
      <c r="I168" s="75">
        <v>0.14285714285714285</v>
      </c>
      <c r="J168" s="75">
        <v>0</v>
      </c>
      <c r="K168" s="75"/>
      <c r="L168" s="75"/>
      <c r="M168" s="6" t="s">
        <v>205</v>
      </c>
      <c r="N168" s="76">
        <v>499</v>
      </c>
      <c r="O168" s="141" t="s">
        <v>206</v>
      </c>
      <c r="P168"/>
      <c r="Q168"/>
      <c r="R168" s="73"/>
      <c r="S168" s="86"/>
      <c r="T168" s="86"/>
      <c r="U168" s="86"/>
      <c r="V168" s="86"/>
      <c r="W168" s="87"/>
      <c r="X168" s="75"/>
      <c r="Y168" s="75"/>
      <c r="Z168" s="75"/>
      <c r="AA168" s="75"/>
    </row>
    <row r="169" spans="1:27" s="82" customFormat="1" ht="12.75" customHeight="1" x14ac:dyDescent="0.4">
      <c r="A169" s="73" t="s">
        <v>130</v>
      </c>
      <c r="B169" s="252">
        <v>73</v>
      </c>
      <c r="C169" s="253">
        <v>66</v>
      </c>
      <c r="D169" s="254">
        <v>6</v>
      </c>
      <c r="E169" s="252">
        <v>1</v>
      </c>
      <c r="F169" s="86"/>
      <c r="G169" s="75">
        <v>1</v>
      </c>
      <c r="H169" s="75">
        <v>0.90410958904109584</v>
      </c>
      <c r="I169" s="75">
        <v>8.2191780821917804E-2</v>
      </c>
      <c r="J169" s="75">
        <v>1.3698630136986301E-2</v>
      </c>
      <c r="K169" s="75"/>
      <c r="L169" s="75"/>
      <c r="M169" s="6" t="s">
        <v>492</v>
      </c>
      <c r="N169" s="139">
        <v>302</v>
      </c>
      <c r="O169" s="140">
        <v>0.60521042084168342</v>
      </c>
      <c r="P169"/>
      <c r="Q169"/>
      <c r="R169" s="73"/>
      <c r="S169" s="86"/>
      <c r="T169" s="86"/>
      <c r="U169" s="86"/>
      <c r="V169" s="86"/>
      <c r="W169" s="87"/>
      <c r="X169" s="75"/>
      <c r="Y169" s="75"/>
      <c r="Z169" s="75"/>
      <c r="AA169" s="75"/>
    </row>
    <row r="170" spans="1:27" s="82" customFormat="1" ht="12.75" customHeight="1" x14ac:dyDescent="0.4">
      <c r="A170" s="73" t="s">
        <v>131</v>
      </c>
      <c r="B170" s="252">
        <v>60</v>
      </c>
      <c r="C170" s="253">
        <v>52</v>
      </c>
      <c r="D170" s="254">
        <v>8</v>
      </c>
      <c r="E170" s="252">
        <v>0</v>
      </c>
      <c r="F170" s="86"/>
      <c r="G170" s="75">
        <v>1</v>
      </c>
      <c r="H170" s="75">
        <v>0.8666666666666667</v>
      </c>
      <c r="I170" s="75">
        <v>0.13333333333333333</v>
      </c>
      <c r="J170" s="75">
        <v>0</v>
      </c>
      <c r="K170" s="75"/>
      <c r="L170" s="75"/>
      <c r="M170" s="6" t="s">
        <v>230</v>
      </c>
      <c r="N170" s="139">
        <v>48</v>
      </c>
      <c r="O170" s="140">
        <v>9.6192384769539077E-2</v>
      </c>
      <c r="P170"/>
      <c r="Q170"/>
      <c r="R170" s="73"/>
      <c r="S170" s="86"/>
      <c r="T170" s="86"/>
      <c r="U170" s="86"/>
      <c r="V170" s="86"/>
      <c r="W170" s="87"/>
      <c r="X170" s="75"/>
      <c r="Y170" s="75"/>
      <c r="Z170" s="75"/>
      <c r="AA170" s="75"/>
    </row>
    <row r="171" spans="1:27" ht="12.75" customHeight="1" x14ac:dyDescent="0.4">
      <c r="A171" s="73" t="s">
        <v>132</v>
      </c>
      <c r="B171" s="252">
        <v>32</v>
      </c>
      <c r="C171" s="253">
        <v>29</v>
      </c>
      <c r="D171" s="254">
        <v>3</v>
      </c>
      <c r="E171" s="252">
        <v>0</v>
      </c>
      <c r="F171" s="86"/>
      <c r="G171" s="75">
        <v>1</v>
      </c>
      <c r="H171" s="75">
        <v>0.90625</v>
      </c>
      <c r="I171" s="75">
        <v>9.375E-2</v>
      </c>
      <c r="J171" s="75">
        <v>0</v>
      </c>
      <c r="K171" s="75"/>
      <c r="L171" s="75"/>
      <c r="M171" s="6" t="s">
        <v>493</v>
      </c>
      <c r="N171" s="139">
        <v>186</v>
      </c>
      <c r="O171" s="140">
        <v>0.37274549098196391</v>
      </c>
      <c r="R171" s="73"/>
      <c r="S171" s="86"/>
      <c r="T171" s="86"/>
      <c r="U171" s="86"/>
      <c r="V171" s="86"/>
      <c r="W171" s="87"/>
      <c r="X171" s="75"/>
      <c r="Y171" s="75"/>
      <c r="Z171" s="75"/>
      <c r="AA171" s="75"/>
    </row>
    <row r="172" spans="1:27" ht="12.75" customHeight="1" x14ac:dyDescent="0.4">
      <c r="A172" s="73" t="s">
        <v>133</v>
      </c>
      <c r="B172" s="252">
        <v>62</v>
      </c>
      <c r="C172" s="253">
        <v>57</v>
      </c>
      <c r="D172" s="254">
        <v>3</v>
      </c>
      <c r="E172" s="252">
        <v>2</v>
      </c>
      <c r="F172" s="86"/>
      <c r="G172" s="75">
        <v>0.98412698412698407</v>
      </c>
      <c r="H172" s="75">
        <v>0.91935483870967738</v>
      </c>
      <c r="I172" s="75">
        <v>4.8387096774193547E-2</v>
      </c>
      <c r="J172" s="75">
        <v>3.2258064516129031E-2</v>
      </c>
      <c r="K172" s="75"/>
      <c r="L172" s="75"/>
      <c r="M172" s="6" t="s">
        <v>231</v>
      </c>
      <c r="N172" s="139">
        <v>43</v>
      </c>
      <c r="O172" s="140">
        <v>8.617234468937876E-2</v>
      </c>
      <c r="R172" s="73"/>
      <c r="S172" s="86"/>
      <c r="T172" s="86"/>
      <c r="U172" s="86"/>
      <c r="V172" s="86"/>
      <c r="W172" s="87"/>
      <c r="X172" s="75"/>
      <c r="Y172" s="75"/>
      <c r="Z172" s="75"/>
      <c r="AA172" s="75"/>
    </row>
    <row r="173" spans="1:27" ht="12.75" customHeight="1" x14ac:dyDescent="0.4">
      <c r="A173" s="73" t="s">
        <v>134</v>
      </c>
      <c r="B173" s="252">
        <v>64</v>
      </c>
      <c r="C173" s="253">
        <v>50</v>
      </c>
      <c r="D173" s="254">
        <v>11</v>
      </c>
      <c r="E173" s="252">
        <v>3</v>
      </c>
      <c r="F173" s="87"/>
      <c r="G173" s="75">
        <v>0.96969696969696972</v>
      </c>
      <c r="H173" s="75">
        <v>0.78125</v>
      </c>
      <c r="I173" s="75">
        <v>0.171875</v>
      </c>
      <c r="J173" s="75">
        <v>4.6875E-2</v>
      </c>
      <c r="K173" s="75"/>
      <c r="L173" s="75"/>
      <c r="M173" s="6"/>
      <c r="N173" s="139"/>
      <c r="O173" s="140"/>
      <c r="P173" s="92"/>
      <c r="R173" s="73"/>
      <c r="S173" s="87"/>
      <c r="T173" s="86"/>
      <c r="U173" s="86"/>
      <c r="V173" s="87"/>
      <c r="W173" s="72"/>
      <c r="X173" s="75"/>
      <c r="Y173" s="75"/>
      <c r="Z173" s="75"/>
      <c r="AA173" s="75"/>
    </row>
    <row r="174" spans="1:27" ht="12.75" customHeight="1" x14ac:dyDescent="0.4">
      <c r="A174" s="73" t="s">
        <v>135</v>
      </c>
      <c r="B174" s="252">
        <v>71</v>
      </c>
      <c r="C174" s="253">
        <v>66</v>
      </c>
      <c r="D174" s="254">
        <v>2</v>
      </c>
      <c r="E174" s="252">
        <v>3</v>
      </c>
      <c r="F174" s="87"/>
      <c r="G174" s="75">
        <v>0.98611111111111116</v>
      </c>
      <c r="H174" s="75">
        <v>0.92957746478873238</v>
      </c>
      <c r="I174" s="75">
        <v>2.8169014084507043E-2</v>
      </c>
      <c r="J174" s="75">
        <v>4.2253521126760563E-2</v>
      </c>
      <c r="K174" s="75"/>
      <c r="L174" s="75"/>
      <c r="M174" s="6" t="s">
        <v>494</v>
      </c>
      <c r="N174" s="138" t="s">
        <v>441</v>
      </c>
      <c r="O174" s="141" t="s">
        <v>206</v>
      </c>
      <c r="S174" s="82"/>
    </row>
    <row r="175" spans="1:27" ht="12.75" customHeight="1" x14ac:dyDescent="0.4">
      <c r="A175" s="73" t="s">
        <v>382</v>
      </c>
      <c r="B175" s="252">
        <v>25</v>
      </c>
      <c r="C175" s="253">
        <v>22</v>
      </c>
      <c r="D175" s="254">
        <v>2</v>
      </c>
      <c r="E175" s="252">
        <v>1</v>
      </c>
      <c r="F175" s="87"/>
      <c r="G175" s="75">
        <v>0.96153846153846156</v>
      </c>
      <c r="H175" s="75">
        <v>0.88</v>
      </c>
      <c r="I175" s="75">
        <v>0.08</v>
      </c>
      <c r="J175" s="75">
        <v>0.04</v>
      </c>
      <c r="K175" s="75"/>
      <c r="L175" s="75"/>
      <c r="M175" s="6" t="s">
        <v>495</v>
      </c>
      <c r="N175" s="241">
        <v>22</v>
      </c>
      <c r="O175" s="140">
        <v>4.4088176352705413E-2</v>
      </c>
      <c r="S175" s="82"/>
    </row>
    <row r="176" spans="1:27" ht="13.15" x14ac:dyDescent="0.4">
      <c r="A176" s="73" t="s">
        <v>136</v>
      </c>
      <c r="B176" s="252">
        <v>28</v>
      </c>
      <c r="C176" s="253">
        <v>20</v>
      </c>
      <c r="D176" s="254">
        <v>7</v>
      </c>
      <c r="E176" s="252">
        <v>1</v>
      </c>
      <c r="F176" s="87"/>
      <c r="G176" s="75">
        <v>1</v>
      </c>
      <c r="H176" s="75">
        <v>0.7142857142857143</v>
      </c>
      <c r="I176" s="75">
        <v>0.25</v>
      </c>
      <c r="J176" s="75">
        <v>3.5714285714285712E-2</v>
      </c>
      <c r="K176" s="75"/>
      <c r="L176" s="75"/>
      <c r="M176" s="6"/>
      <c r="N176" s="139"/>
      <c r="O176" s="140"/>
      <c r="P176" s="72"/>
      <c r="Q176" s="72"/>
      <c r="R176" s="73"/>
      <c r="S176" s="72"/>
      <c r="T176" s="72"/>
      <c r="U176" s="72"/>
      <c r="V176" s="72"/>
      <c r="W176" s="72"/>
      <c r="X176" s="72"/>
      <c r="Y176" s="72"/>
      <c r="Z176" s="72"/>
      <c r="AA176" s="72"/>
    </row>
    <row r="177" spans="1:27" ht="12.75" customHeight="1" thickBot="1" x14ac:dyDescent="0.45">
      <c r="A177" s="73" t="s">
        <v>308</v>
      </c>
      <c r="B177" s="255">
        <v>31</v>
      </c>
      <c r="C177" s="256">
        <v>15</v>
      </c>
      <c r="D177" s="257">
        <v>14</v>
      </c>
      <c r="E177" s="255">
        <v>2</v>
      </c>
      <c r="F177" s="87"/>
      <c r="G177" s="75">
        <v>1</v>
      </c>
      <c r="H177" s="75">
        <v>0.4838709677419355</v>
      </c>
      <c r="I177" s="75">
        <v>0.45161290322580644</v>
      </c>
      <c r="J177" s="75">
        <v>6.4516129032258063E-2</v>
      </c>
      <c r="K177" s="72"/>
      <c r="L177" s="72"/>
      <c r="M177" s="6"/>
      <c r="N177" s="139"/>
      <c r="O177" s="140"/>
      <c r="P177" s="72"/>
      <c r="Q177" s="72"/>
      <c r="R177" s="73"/>
      <c r="S177" s="72"/>
      <c r="T177" s="72"/>
      <c r="U177" s="72"/>
      <c r="V177" s="72"/>
      <c r="W177" s="72"/>
      <c r="X177" s="72"/>
      <c r="Y177" s="72"/>
      <c r="Z177" s="72"/>
      <c r="AA177" s="72"/>
    </row>
    <row r="178" spans="1:27" ht="12.75" customHeight="1" x14ac:dyDescent="0.4">
      <c r="A178" s="73" t="s">
        <v>24</v>
      </c>
      <c r="B178" s="258">
        <v>499</v>
      </c>
      <c r="C178" s="259">
        <v>419</v>
      </c>
      <c r="D178" s="260">
        <v>64</v>
      </c>
      <c r="E178" s="261">
        <v>16</v>
      </c>
      <c r="F178" s="72"/>
      <c r="G178" s="75">
        <v>0.98811881188118811</v>
      </c>
      <c r="H178" s="75">
        <v>0.83967935871743482</v>
      </c>
      <c r="I178" s="75">
        <v>0.12825651302605209</v>
      </c>
      <c r="J178" s="75">
        <v>3.2064128256513023E-2</v>
      </c>
      <c r="K178" s="72"/>
      <c r="L178" s="72"/>
      <c r="M178" s="6"/>
      <c r="N178" s="75"/>
      <c r="O178" s="75"/>
      <c r="P178" s="72"/>
      <c r="Q178" s="72"/>
      <c r="R178" s="73"/>
      <c r="S178" s="72"/>
      <c r="T178" s="72"/>
      <c r="U178" s="72"/>
      <c r="V178" s="72"/>
      <c r="W178" s="72"/>
      <c r="X178" s="72"/>
      <c r="Y178" s="72"/>
      <c r="Z178" s="72"/>
      <c r="AA178" s="72"/>
    </row>
    <row r="179" spans="1:27" ht="12.75" customHeight="1" x14ac:dyDescent="0.4">
      <c r="A179" s="73"/>
      <c r="B179" s="87"/>
      <c r="C179" s="86"/>
      <c r="D179" s="86"/>
      <c r="E179" s="87"/>
      <c r="F179" s="72"/>
      <c r="G179" s="75"/>
      <c r="H179" s="75"/>
      <c r="I179" s="75"/>
      <c r="J179" s="75"/>
      <c r="K179" s="72"/>
      <c r="L179" s="74"/>
      <c r="M179" s="6"/>
      <c r="N179" s="75"/>
      <c r="O179" s="75"/>
      <c r="R179" s="73"/>
      <c r="S179" s="72"/>
      <c r="T179" s="72"/>
      <c r="U179" s="72"/>
      <c r="V179" s="72"/>
      <c r="W179" s="86"/>
      <c r="X179" s="72"/>
      <c r="Y179" s="72"/>
      <c r="Z179" s="72"/>
      <c r="AA179" s="72"/>
    </row>
    <row r="180" spans="1:27" ht="12.75" customHeight="1" x14ac:dyDescent="0.4">
      <c r="A180" s="73"/>
      <c r="B180" s="87"/>
      <c r="C180" s="86"/>
      <c r="D180" s="86"/>
      <c r="E180" s="87"/>
      <c r="F180" s="72"/>
      <c r="G180" s="75"/>
      <c r="H180" s="75"/>
      <c r="I180" s="75"/>
      <c r="J180" s="75"/>
      <c r="K180" s="74"/>
      <c r="L180" s="75"/>
      <c r="M180" s="73"/>
      <c r="N180" s="168"/>
      <c r="O180" s="75"/>
      <c r="R180" s="73"/>
      <c r="S180" s="74"/>
      <c r="T180" s="74"/>
      <c r="U180" s="74"/>
      <c r="V180" s="74"/>
      <c r="W180" s="86"/>
      <c r="X180" s="74"/>
      <c r="Y180" s="74"/>
      <c r="Z180" s="74"/>
      <c r="AA180" s="74"/>
    </row>
    <row r="181" spans="1:27" ht="12.75" customHeight="1" x14ac:dyDescent="0.4">
      <c r="A181" s="73" t="s">
        <v>456</v>
      </c>
      <c r="B181" s="72"/>
      <c r="C181" s="72"/>
      <c r="D181" s="72"/>
      <c r="E181" s="72"/>
      <c r="F181" s="72"/>
      <c r="G181" s="72"/>
      <c r="H181" s="72"/>
      <c r="I181" s="72"/>
      <c r="J181" s="72"/>
      <c r="K181" s="75"/>
      <c r="L181" s="75"/>
      <c r="M181" s="6"/>
      <c r="N181" s="6"/>
      <c r="O181" s="6"/>
      <c r="R181" s="73"/>
      <c r="S181" s="86"/>
      <c r="T181" s="86"/>
      <c r="U181" s="86"/>
      <c r="V181" s="86"/>
      <c r="W181" s="86"/>
      <c r="X181" s="75"/>
      <c r="Y181" s="75"/>
      <c r="Z181" s="75"/>
      <c r="AA181" s="75"/>
    </row>
    <row r="182" spans="1:27" ht="12.75" customHeight="1" x14ac:dyDescent="0.4">
      <c r="A182" s="73" t="s">
        <v>489</v>
      </c>
      <c r="B182" s="72"/>
      <c r="C182" s="72"/>
      <c r="D182" s="72"/>
      <c r="E182" s="72"/>
      <c r="F182" s="72"/>
      <c r="G182" s="72"/>
      <c r="H182" s="72"/>
      <c r="I182" s="72"/>
      <c r="J182" s="72"/>
      <c r="K182" s="75"/>
      <c r="L182" s="75"/>
      <c r="M182" s="6"/>
      <c r="N182" s="6"/>
      <c r="O182" s="6"/>
      <c r="P182" s="163"/>
      <c r="R182" s="73"/>
      <c r="S182" s="86"/>
      <c r="T182" s="86"/>
      <c r="U182" s="86"/>
      <c r="V182" s="86"/>
      <c r="W182" s="86"/>
      <c r="X182" s="75"/>
      <c r="Y182" s="75"/>
      <c r="Z182" s="75"/>
      <c r="AA182" s="75"/>
    </row>
    <row r="183" spans="1:27" ht="12.75" customHeight="1" x14ac:dyDescent="0.4">
      <c r="A183" s="73" t="s">
        <v>490</v>
      </c>
      <c r="B183" s="72"/>
      <c r="C183" s="72"/>
      <c r="D183" s="72"/>
      <c r="E183" s="72"/>
      <c r="F183" s="72"/>
      <c r="G183" s="72"/>
      <c r="H183" s="72"/>
      <c r="I183" s="72"/>
      <c r="J183" s="72"/>
      <c r="K183" s="75"/>
      <c r="L183" s="75"/>
      <c r="M183" s="6"/>
      <c r="N183" s="6"/>
      <c r="O183" s="6"/>
      <c r="P183" s="163"/>
      <c r="Q183" s="170"/>
      <c r="R183" s="73"/>
      <c r="S183" s="86"/>
      <c r="T183" s="86"/>
      <c r="U183" s="86"/>
      <c r="V183" s="86"/>
      <c r="W183" s="86"/>
      <c r="X183" s="75"/>
      <c r="Y183" s="75"/>
      <c r="Z183" s="75"/>
      <c r="AA183" s="75"/>
    </row>
    <row r="184" spans="1:27" ht="12.75" customHeight="1" x14ac:dyDescent="0.4">
      <c r="A184" s="73"/>
      <c r="B184" s="72" t="s">
        <v>141</v>
      </c>
      <c r="C184" s="72"/>
      <c r="D184" s="72"/>
      <c r="E184" s="72"/>
      <c r="F184" s="86"/>
      <c r="G184" s="72" t="s">
        <v>148</v>
      </c>
      <c r="H184" s="72"/>
      <c r="I184" s="72"/>
      <c r="J184" s="72"/>
      <c r="K184" s="75"/>
      <c r="L184" s="75"/>
      <c r="M184" s="6" t="s">
        <v>456</v>
      </c>
      <c r="N184" s="6"/>
      <c r="O184" s="6"/>
      <c r="P184" s="232"/>
      <c r="Q184" s="170"/>
      <c r="R184" s="73"/>
      <c r="S184" s="86"/>
      <c r="T184" s="86"/>
      <c r="U184" s="86"/>
      <c r="V184" s="86"/>
      <c r="W184" s="86"/>
      <c r="X184" s="75"/>
      <c r="Y184" s="75"/>
      <c r="Z184" s="75"/>
      <c r="AA184" s="75"/>
    </row>
    <row r="185" spans="1:27" ht="12.75" customHeight="1" thickBot="1" x14ac:dyDescent="0.45">
      <c r="A185" s="73" t="s">
        <v>137</v>
      </c>
      <c r="B185" s="74" t="s">
        <v>113</v>
      </c>
      <c r="C185" s="74" t="s">
        <v>114</v>
      </c>
      <c r="D185" s="74" t="s">
        <v>115</v>
      </c>
      <c r="E185" s="74" t="s">
        <v>116</v>
      </c>
      <c r="F185" s="86"/>
      <c r="G185" s="74" t="s">
        <v>113</v>
      </c>
      <c r="H185" s="74" t="s">
        <v>114</v>
      </c>
      <c r="I185" s="74" t="s">
        <v>115</v>
      </c>
      <c r="J185" s="74" t="s">
        <v>116</v>
      </c>
      <c r="K185" s="75"/>
      <c r="L185" s="75"/>
      <c r="M185" s="6" t="s">
        <v>477</v>
      </c>
      <c r="N185" s="139"/>
      <c r="O185" s="140"/>
      <c r="P185" s="163"/>
      <c r="Q185" s="170"/>
      <c r="R185" s="73"/>
      <c r="S185" s="86"/>
      <c r="T185" s="86"/>
      <c r="U185" s="86"/>
      <c r="V185" s="86"/>
      <c r="W185" s="86"/>
      <c r="X185" s="75"/>
      <c r="Y185" s="75"/>
      <c r="Z185" s="75"/>
      <c r="AA185" s="75"/>
    </row>
    <row r="186" spans="1:27" s="82" customFormat="1" ht="12.75" customHeight="1" x14ac:dyDescent="0.4">
      <c r="A186" s="73" t="s">
        <v>128</v>
      </c>
      <c r="B186" s="249">
        <v>26</v>
      </c>
      <c r="C186" s="250">
        <v>19</v>
      </c>
      <c r="D186" s="251">
        <v>7</v>
      </c>
      <c r="E186" s="249">
        <v>0</v>
      </c>
      <c r="F186" s="86"/>
      <c r="G186" s="75">
        <v>1</v>
      </c>
      <c r="H186" s="75">
        <v>0.73076923076923073</v>
      </c>
      <c r="I186" s="75">
        <v>0.26923076923076922</v>
      </c>
      <c r="J186" s="75">
        <v>0</v>
      </c>
      <c r="K186" s="75"/>
      <c r="L186" s="75"/>
      <c r="M186" s="6" t="s">
        <v>448</v>
      </c>
      <c r="N186" s="6"/>
      <c r="O186" s="6"/>
      <c r="P186" s="163"/>
      <c r="Q186" s="170"/>
      <c r="R186" s="73"/>
      <c r="S186" s="86"/>
      <c r="T186" s="86"/>
      <c r="U186" s="86"/>
      <c r="V186" s="86"/>
      <c r="W186" s="86"/>
      <c r="X186" s="75"/>
      <c r="Y186" s="75"/>
      <c r="Z186" s="75"/>
      <c r="AA186" s="75"/>
    </row>
    <row r="187" spans="1:27" s="82" customFormat="1" ht="12.75" customHeight="1" x14ac:dyDescent="0.4">
      <c r="A187" s="73" t="s">
        <v>129</v>
      </c>
      <c r="B187" s="252">
        <v>28</v>
      </c>
      <c r="C187" s="253">
        <v>24</v>
      </c>
      <c r="D187" s="254">
        <v>4</v>
      </c>
      <c r="E187" s="252">
        <v>0</v>
      </c>
      <c r="F187" s="86"/>
      <c r="G187" s="75">
        <v>1</v>
      </c>
      <c r="H187" s="75">
        <v>0.8571428571428571</v>
      </c>
      <c r="I187" s="75">
        <v>0.14285714285714285</v>
      </c>
      <c r="J187" s="75">
        <v>0</v>
      </c>
      <c r="K187" s="75"/>
      <c r="L187" s="75"/>
      <c r="M187" s="6" t="s">
        <v>205</v>
      </c>
      <c r="N187" s="76">
        <v>500</v>
      </c>
      <c r="O187" s="141" t="s">
        <v>206</v>
      </c>
      <c r="P187"/>
      <c r="Q187"/>
      <c r="R187" s="73"/>
      <c r="S187" s="86"/>
      <c r="T187" s="86"/>
      <c r="U187" s="86"/>
      <c r="V187" s="86"/>
      <c r="W187" s="87"/>
      <c r="X187" s="75"/>
      <c r="Y187" s="75"/>
      <c r="Z187" s="75"/>
      <c r="AA187" s="75"/>
    </row>
    <row r="188" spans="1:27" s="82" customFormat="1" ht="12.75" customHeight="1" x14ac:dyDescent="0.4">
      <c r="A188" s="73" t="s">
        <v>130</v>
      </c>
      <c r="B188" s="252">
        <v>73</v>
      </c>
      <c r="C188" s="253">
        <v>67</v>
      </c>
      <c r="D188" s="254">
        <v>6</v>
      </c>
      <c r="E188" s="252">
        <v>0</v>
      </c>
      <c r="F188" s="86"/>
      <c r="G188" s="75">
        <v>1</v>
      </c>
      <c r="H188" s="75">
        <v>0.9178082191780822</v>
      </c>
      <c r="I188" s="75">
        <v>8.2191780821917804E-2</v>
      </c>
      <c r="J188" s="75">
        <v>0</v>
      </c>
      <c r="K188" s="75"/>
      <c r="L188" s="75"/>
      <c r="M188" s="6" t="s">
        <v>478</v>
      </c>
      <c r="N188" s="139">
        <v>318</v>
      </c>
      <c r="O188" s="140">
        <v>0.63600000000000001</v>
      </c>
      <c r="P188"/>
      <c r="Q188"/>
      <c r="R188" s="73"/>
      <c r="S188" s="86"/>
      <c r="T188" s="86"/>
      <c r="U188" s="86"/>
      <c r="V188" s="86"/>
      <c r="W188" s="87"/>
      <c r="X188" s="75"/>
      <c r="Y188" s="75"/>
      <c r="Z188" s="75"/>
      <c r="AA188" s="75"/>
    </row>
    <row r="189" spans="1:27" s="82" customFormat="1" ht="12.75" customHeight="1" x14ac:dyDescent="0.4">
      <c r="A189" s="73" t="s">
        <v>131</v>
      </c>
      <c r="B189" s="252">
        <v>61</v>
      </c>
      <c r="C189" s="253">
        <v>45</v>
      </c>
      <c r="D189" s="254">
        <v>15</v>
      </c>
      <c r="E189" s="252">
        <v>1</v>
      </c>
      <c r="F189" s="86"/>
      <c r="G189" s="75">
        <v>1</v>
      </c>
      <c r="H189" s="75">
        <v>0.73770491803278693</v>
      </c>
      <c r="I189" s="75">
        <v>0.24590163934426229</v>
      </c>
      <c r="J189" s="75">
        <v>1.6393442622950821E-2</v>
      </c>
      <c r="K189" s="75"/>
      <c r="L189" s="75"/>
      <c r="M189" s="6" t="s">
        <v>230</v>
      </c>
      <c r="N189" s="139">
        <v>89</v>
      </c>
      <c r="O189" s="140">
        <v>0.17799999999999999</v>
      </c>
      <c r="P189"/>
      <c r="Q189"/>
      <c r="R189" s="73"/>
      <c r="S189" s="86"/>
      <c r="T189" s="86"/>
      <c r="U189" s="86"/>
      <c r="V189" s="86"/>
      <c r="W189" s="87"/>
      <c r="X189" s="75"/>
      <c r="Y189" s="75"/>
      <c r="Z189" s="75"/>
      <c r="AA189" s="75"/>
    </row>
    <row r="190" spans="1:27" ht="12.75" customHeight="1" x14ac:dyDescent="0.4">
      <c r="A190" s="73" t="s">
        <v>132</v>
      </c>
      <c r="B190" s="252">
        <v>33</v>
      </c>
      <c r="C190" s="253">
        <v>29</v>
      </c>
      <c r="D190" s="254">
        <v>4</v>
      </c>
      <c r="E190" s="252">
        <v>0</v>
      </c>
      <c r="F190" s="86"/>
      <c r="G190" s="75">
        <v>1</v>
      </c>
      <c r="H190" s="75">
        <v>0.87878787878787878</v>
      </c>
      <c r="I190" s="75">
        <v>0.12121212121212122</v>
      </c>
      <c r="J190" s="75">
        <v>0</v>
      </c>
      <c r="K190" s="75"/>
      <c r="L190" s="75"/>
      <c r="M190" s="6" t="s">
        <v>479</v>
      </c>
      <c r="N190" s="139">
        <v>165</v>
      </c>
      <c r="O190" s="140">
        <v>0.33</v>
      </c>
      <c r="R190" s="73"/>
      <c r="S190" s="86"/>
      <c r="T190" s="86"/>
      <c r="U190" s="86"/>
      <c r="V190" s="86"/>
      <c r="W190" s="87"/>
      <c r="X190" s="75"/>
      <c r="Y190" s="75"/>
      <c r="Z190" s="75"/>
      <c r="AA190" s="75"/>
    </row>
    <row r="191" spans="1:27" ht="12.75" customHeight="1" x14ac:dyDescent="0.4">
      <c r="A191" s="73" t="s">
        <v>133</v>
      </c>
      <c r="B191" s="252">
        <v>62</v>
      </c>
      <c r="C191" s="253">
        <v>55</v>
      </c>
      <c r="D191" s="254">
        <v>6</v>
      </c>
      <c r="E191" s="252">
        <v>1</v>
      </c>
      <c r="F191" s="86"/>
      <c r="G191" s="75">
        <v>1</v>
      </c>
      <c r="H191" s="75">
        <v>0.88709677419354838</v>
      </c>
      <c r="I191" s="75">
        <v>9.6774193548387094E-2</v>
      </c>
      <c r="J191" s="75">
        <v>1.6129032258064516E-2</v>
      </c>
      <c r="K191" s="75"/>
      <c r="L191" s="75"/>
      <c r="M191" s="6" t="s">
        <v>231</v>
      </c>
      <c r="N191" s="139">
        <v>43</v>
      </c>
      <c r="O191" s="140">
        <v>8.5999999999999993E-2</v>
      </c>
      <c r="R191" s="73"/>
      <c r="S191" s="86"/>
      <c r="T191" s="86"/>
      <c r="U191" s="86"/>
      <c r="V191" s="86"/>
      <c r="W191" s="87"/>
      <c r="X191" s="75"/>
      <c r="Y191" s="75"/>
      <c r="Z191" s="75"/>
      <c r="AA191" s="75"/>
    </row>
    <row r="192" spans="1:27" ht="12.75" customHeight="1" x14ac:dyDescent="0.4">
      <c r="A192" s="73" t="s">
        <v>134</v>
      </c>
      <c r="B192" s="252">
        <v>65</v>
      </c>
      <c r="C192" s="253">
        <v>49</v>
      </c>
      <c r="D192" s="254">
        <v>14</v>
      </c>
      <c r="E192" s="252">
        <v>2</v>
      </c>
      <c r="F192" s="87"/>
      <c r="G192" s="75">
        <v>0.98484848484848486</v>
      </c>
      <c r="H192" s="75">
        <v>0.75384615384615383</v>
      </c>
      <c r="I192" s="75">
        <v>0.2153846153846154</v>
      </c>
      <c r="J192" s="75">
        <v>3.0769230769230771E-2</v>
      </c>
      <c r="K192" s="75"/>
      <c r="L192" s="75"/>
      <c r="M192" s="6"/>
      <c r="N192" s="139"/>
      <c r="O192" s="140"/>
      <c r="P192" s="92"/>
      <c r="R192" s="73"/>
      <c r="S192" s="87"/>
      <c r="T192" s="86"/>
      <c r="U192" s="86"/>
      <c r="V192" s="87"/>
      <c r="W192" s="72"/>
      <c r="X192" s="75"/>
      <c r="Y192" s="75"/>
      <c r="Z192" s="75"/>
      <c r="AA192" s="75"/>
    </row>
    <row r="193" spans="1:27" ht="12.75" customHeight="1" x14ac:dyDescent="0.4">
      <c r="A193" s="73" t="s">
        <v>135</v>
      </c>
      <c r="B193" s="252">
        <v>70</v>
      </c>
      <c r="C193" s="253">
        <v>65</v>
      </c>
      <c r="D193" s="254">
        <v>1</v>
      </c>
      <c r="E193" s="252">
        <v>4</v>
      </c>
      <c r="F193" s="87"/>
      <c r="G193" s="75">
        <v>0.9859154929577465</v>
      </c>
      <c r="H193" s="75">
        <v>0.9285714285714286</v>
      </c>
      <c r="I193" s="75">
        <v>1.4285714285714285E-2</v>
      </c>
      <c r="J193" s="75">
        <v>5.7142857142857141E-2</v>
      </c>
      <c r="K193" s="75"/>
      <c r="L193" s="75"/>
      <c r="M193" s="6" t="s">
        <v>480</v>
      </c>
      <c r="N193" s="138" t="s">
        <v>441</v>
      </c>
      <c r="O193" s="141" t="s">
        <v>206</v>
      </c>
      <c r="S193" s="82"/>
    </row>
    <row r="194" spans="1:27" ht="12.75" customHeight="1" x14ac:dyDescent="0.4">
      <c r="A194" s="73" t="s">
        <v>382</v>
      </c>
      <c r="B194" s="252">
        <v>25</v>
      </c>
      <c r="C194" s="253">
        <v>22</v>
      </c>
      <c r="D194" s="254">
        <v>3</v>
      </c>
      <c r="E194" s="252">
        <v>0</v>
      </c>
      <c r="F194" s="87"/>
      <c r="G194" s="75">
        <v>0.96153846153846156</v>
      </c>
      <c r="H194" s="75">
        <v>0.88</v>
      </c>
      <c r="I194" s="75">
        <v>0.12</v>
      </c>
      <c r="J194" s="75">
        <v>0</v>
      </c>
      <c r="K194" s="75"/>
      <c r="L194" s="75"/>
      <c r="M194" s="6" t="s">
        <v>481</v>
      </c>
      <c r="N194" s="241">
        <v>52</v>
      </c>
      <c r="O194" s="140">
        <v>0.104</v>
      </c>
      <c r="S194" s="82"/>
    </row>
    <row r="195" spans="1:27" ht="12.75" customHeight="1" x14ac:dyDescent="0.4">
      <c r="A195" s="73" t="s">
        <v>136</v>
      </c>
      <c r="B195" s="252">
        <v>28</v>
      </c>
      <c r="C195" s="253">
        <v>22</v>
      </c>
      <c r="D195" s="254">
        <v>3</v>
      </c>
      <c r="E195" s="252">
        <v>3</v>
      </c>
      <c r="F195" s="87"/>
      <c r="G195" s="75">
        <v>1</v>
      </c>
      <c r="H195" s="75">
        <v>0.7857142857142857</v>
      </c>
      <c r="I195" s="75">
        <v>0.10714285714285714</v>
      </c>
      <c r="J195" s="75">
        <v>0.10714285714285714</v>
      </c>
      <c r="K195" s="72"/>
      <c r="L195" s="72"/>
      <c r="M195" s="6"/>
      <c r="N195" s="139"/>
      <c r="O195" s="140"/>
      <c r="P195" s="72"/>
      <c r="Q195" s="72"/>
      <c r="R195" s="73"/>
      <c r="S195" s="72"/>
      <c r="T195" s="72"/>
      <c r="U195" s="72"/>
      <c r="V195" s="72"/>
      <c r="W195" s="72"/>
      <c r="X195" s="72"/>
      <c r="Y195" s="72"/>
      <c r="Z195" s="72"/>
      <c r="AA195" s="72"/>
    </row>
    <row r="196" spans="1:27" ht="12.75" customHeight="1" thickBot="1" x14ac:dyDescent="0.45">
      <c r="A196" s="73" t="s">
        <v>308</v>
      </c>
      <c r="B196" s="255">
        <v>31</v>
      </c>
      <c r="C196" s="256">
        <v>16</v>
      </c>
      <c r="D196" s="257">
        <v>14</v>
      </c>
      <c r="E196" s="255">
        <v>1</v>
      </c>
      <c r="F196" s="87"/>
      <c r="G196" s="75">
        <v>1</v>
      </c>
      <c r="H196" s="75">
        <v>0.5161290322580645</v>
      </c>
      <c r="I196" s="75">
        <v>0.45161290322580644</v>
      </c>
      <c r="J196" s="75">
        <v>3.2258064516129031E-2</v>
      </c>
      <c r="K196" s="72"/>
      <c r="L196" s="72"/>
      <c r="M196" s="6"/>
      <c r="N196" s="139"/>
      <c r="O196" s="140"/>
      <c r="R196" s="73"/>
      <c r="S196" s="72"/>
      <c r="T196" s="72"/>
      <c r="U196" s="72"/>
      <c r="V196" s="72"/>
      <c r="W196" s="86"/>
      <c r="X196" s="72"/>
      <c r="Y196" s="72"/>
      <c r="Z196" s="72"/>
      <c r="AA196" s="72"/>
    </row>
    <row r="197" spans="1:27" ht="12.75" customHeight="1" x14ac:dyDescent="0.4">
      <c r="A197" s="73" t="s">
        <v>24</v>
      </c>
      <c r="B197" s="258">
        <v>502</v>
      </c>
      <c r="C197" s="259">
        <v>413</v>
      </c>
      <c r="D197" s="260">
        <v>77</v>
      </c>
      <c r="E197" s="261">
        <v>12</v>
      </c>
      <c r="F197" s="72"/>
      <c r="G197" s="75">
        <v>0.99405940594059405</v>
      </c>
      <c r="H197" s="75">
        <v>0.82270916334661359</v>
      </c>
      <c r="I197" s="75">
        <v>0.15338645418326693</v>
      </c>
      <c r="J197" s="75">
        <v>2.3904382470119521E-2</v>
      </c>
      <c r="K197" s="72"/>
      <c r="L197" s="74"/>
      <c r="M197" s="6"/>
      <c r="N197" s="75"/>
      <c r="O197" s="75"/>
      <c r="R197" s="73"/>
      <c r="S197" s="74"/>
      <c r="T197" s="74"/>
      <c r="U197" s="74"/>
      <c r="V197" s="74"/>
      <c r="W197" s="86"/>
      <c r="X197" s="74"/>
      <c r="Y197" s="74"/>
      <c r="Z197" s="74"/>
      <c r="AA197" s="74"/>
    </row>
    <row r="198" spans="1:27" ht="12.75" customHeight="1" x14ac:dyDescent="0.4">
      <c r="A198" s="73"/>
      <c r="B198" s="87"/>
      <c r="C198" s="86"/>
      <c r="D198" s="86"/>
      <c r="E198" s="87"/>
      <c r="F198" s="72"/>
      <c r="G198" s="75"/>
      <c r="H198" s="75"/>
      <c r="I198" s="75"/>
      <c r="J198" s="75"/>
      <c r="K198" s="74"/>
      <c r="L198" s="75"/>
      <c r="M198" s="6"/>
      <c r="N198" s="75"/>
      <c r="O198" s="75"/>
      <c r="R198" s="73"/>
      <c r="S198" s="86"/>
      <c r="T198" s="86"/>
      <c r="U198" s="86"/>
      <c r="V198" s="86"/>
      <c r="W198" s="86"/>
      <c r="X198" s="75"/>
      <c r="Y198" s="75"/>
      <c r="Z198" s="75"/>
      <c r="AA198" s="75"/>
    </row>
    <row r="199" spans="1:27" ht="12.75" customHeight="1" x14ac:dyDescent="0.4">
      <c r="A199" s="73"/>
      <c r="B199" s="87"/>
      <c r="C199" s="86"/>
      <c r="D199" s="86"/>
      <c r="E199" s="87"/>
      <c r="F199" s="72"/>
      <c r="G199" s="75"/>
      <c r="H199" s="75"/>
      <c r="I199" s="75"/>
      <c r="J199" s="75"/>
      <c r="K199" s="75"/>
      <c r="L199" s="75"/>
      <c r="M199" s="73"/>
      <c r="N199" s="168"/>
      <c r="O199" s="75"/>
      <c r="P199" s="163"/>
      <c r="R199" s="73"/>
      <c r="S199" s="86"/>
      <c r="T199" s="86"/>
      <c r="U199" s="86"/>
      <c r="V199" s="86"/>
      <c r="W199" s="86"/>
      <c r="X199" s="75"/>
      <c r="Y199" s="75"/>
      <c r="Z199" s="75"/>
      <c r="AA199" s="75"/>
    </row>
    <row r="200" spans="1:27" ht="12.75" customHeight="1" x14ac:dyDescent="0.4">
      <c r="A200" s="73" t="s">
        <v>455</v>
      </c>
      <c r="B200" s="72"/>
      <c r="C200" s="72"/>
      <c r="D200" s="72"/>
      <c r="E200" s="72"/>
      <c r="F200" s="72"/>
      <c r="G200" s="72"/>
      <c r="H200" s="72"/>
      <c r="I200" s="72"/>
      <c r="J200" s="72"/>
      <c r="K200" s="75"/>
      <c r="L200" s="75"/>
      <c r="M200" s="142"/>
      <c r="N200" s="142"/>
      <c r="O200" s="142"/>
      <c r="P200" s="163"/>
      <c r="Q200" s="170"/>
      <c r="R200" s="73"/>
      <c r="S200" s="86"/>
      <c r="T200" s="86"/>
      <c r="U200" s="86"/>
      <c r="V200" s="86"/>
      <c r="W200" s="86"/>
      <c r="X200" s="75"/>
      <c r="Y200" s="75"/>
      <c r="Z200" s="75"/>
      <c r="AA200" s="75"/>
    </row>
    <row r="201" spans="1:27" ht="12.75" customHeight="1" x14ac:dyDescent="0.4">
      <c r="A201" s="73" t="s">
        <v>373</v>
      </c>
      <c r="B201" s="72"/>
      <c r="C201" s="72"/>
      <c r="D201" s="72"/>
      <c r="E201" s="72"/>
      <c r="F201" s="72"/>
      <c r="G201" s="72"/>
      <c r="H201" s="72"/>
      <c r="I201" s="72"/>
      <c r="J201" s="72"/>
      <c r="K201" s="75"/>
      <c r="L201" s="75"/>
      <c r="M201" s="142"/>
      <c r="N201" s="142"/>
      <c r="O201" s="142"/>
      <c r="P201" s="232"/>
      <c r="Q201" s="170"/>
      <c r="R201" s="73"/>
      <c r="S201" s="86"/>
      <c r="T201" s="86"/>
      <c r="U201" s="86"/>
      <c r="V201" s="86"/>
      <c r="W201" s="86"/>
      <c r="X201" s="75"/>
      <c r="Y201" s="75"/>
      <c r="Z201" s="75"/>
      <c r="AA201" s="75"/>
    </row>
    <row r="202" spans="1:27" ht="12.75" customHeight="1" x14ac:dyDescent="0.4">
      <c r="A202" s="73" t="s">
        <v>476</v>
      </c>
      <c r="B202" s="72"/>
      <c r="C202" s="72"/>
      <c r="D202" s="72"/>
      <c r="E202" s="72"/>
      <c r="F202" s="72"/>
      <c r="G202" s="72"/>
      <c r="H202" s="72"/>
      <c r="I202" s="72"/>
      <c r="J202" s="72"/>
      <c r="K202" s="75"/>
      <c r="L202" s="75"/>
      <c r="M202" s="142"/>
      <c r="N202" s="142"/>
      <c r="O202" s="142"/>
      <c r="P202" s="163"/>
      <c r="Q202" s="170"/>
      <c r="R202" s="73"/>
      <c r="S202" s="86"/>
      <c r="T202" s="86"/>
      <c r="U202" s="86"/>
      <c r="V202" s="86"/>
      <c r="W202" s="86"/>
      <c r="X202" s="75"/>
      <c r="Y202" s="75"/>
      <c r="Z202" s="75"/>
      <c r="AA202" s="75"/>
    </row>
    <row r="203" spans="1:27" s="82" customFormat="1" ht="12.75" customHeight="1" x14ac:dyDescent="0.4">
      <c r="A203" s="73"/>
      <c r="B203" s="72" t="s">
        <v>141</v>
      </c>
      <c r="C203" s="72"/>
      <c r="D203" s="72"/>
      <c r="E203" s="72"/>
      <c r="F203" s="86"/>
      <c r="G203" s="72" t="s">
        <v>148</v>
      </c>
      <c r="H203" s="72"/>
      <c r="I203" s="72"/>
      <c r="J203" s="72"/>
      <c r="K203" s="75"/>
      <c r="L203" s="75"/>
      <c r="M203" s="142" t="s">
        <v>455</v>
      </c>
      <c r="N203" s="142"/>
      <c r="O203" s="142"/>
      <c r="P203" s="163"/>
      <c r="Q203" s="170"/>
      <c r="R203" s="73"/>
      <c r="S203" s="86"/>
      <c r="T203" s="86"/>
      <c r="U203" s="86"/>
      <c r="V203" s="86"/>
      <c r="W203" s="86"/>
      <c r="X203" s="75"/>
      <c r="Y203" s="75"/>
      <c r="Z203" s="75"/>
      <c r="AA203" s="75"/>
    </row>
    <row r="204" spans="1:27" s="82" customFormat="1" ht="12.75" customHeight="1" thickBot="1" x14ac:dyDescent="0.45">
      <c r="A204" s="73" t="s">
        <v>137</v>
      </c>
      <c r="B204" s="74" t="s">
        <v>113</v>
      </c>
      <c r="C204" s="74" t="s">
        <v>114</v>
      </c>
      <c r="D204" s="74" t="s">
        <v>115</v>
      </c>
      <c r="E204" s="74" t="s">
        <v>116</v>
      </c>
      <c r="F204" s="86"/>
      <c r="G204" s="74" t="s">
        <v>113</v>
      </c>
      <c r="H204" s="74" t="s">
        <v>114</v>
      </c>
      <c r="I204" s="74" t="s">
        <v>115</v>
      </c>
      <c r="J204" s="74" t="s">
        <v>116</v>
      </c>
      <c r="K204" s="75"/>
      <c r="L204" s="75"/>
      <c r="M204" s="142" t="s">
        <v>463</v>
      </c>
      <c r="N204" s="169"/>
      <c r="O204" s="170"/>
      <c r="P204"/>
      <c r="Q204"/>
      <c r="R204" s="73"/>
      <c r="S204" s="86"/>
      <c r="T204" s="86"/>
      <c r="U204" s="86"/>
      <c r="V204" s="86"/>
      <c r="W204" s="87"/>
      <c r="X204" s="75"/>
      <c r="Y204" s="75"/>
      <c r="Z204" s="75"/>
      <c r="AA204" s="75"/>
    </row>
    <row r="205" spans="1:27" s="82" customFormat="1" ht="12.75" customHeight="1" x14ac:dyDescent="0.4">
      <c r="A205" s="73" t="s">
        <v>128</v>
      </c>
      <c r="B205" s="249">
        <v>27</v>
      </c>
      <c r="C205" s="250">
        <v>21</v>
      </c>
      <c r="D205" s="251">
        <v>4</v>
      </c>
      <c r="E205" s="249">
        <v>2</v>
      </c>
      <c r="F205" s="86"/>
      <c r="G205" s="75">
        <v>1</v>
      </c>
      <c r="H205" s="75">
        <v>0.77777777777777779</v>
      </c>
      <c r="I205" s="75">
        <v>0.14814814814814814</v>
      </c>
      <c r="J205" s="75">
        <v>7.407407407407407E-2</v>
      </c>
      <c r="K205" s="75"/>
      <c r="L205" s="75"/>
      <c r="M205" s="142" t="s">
        <v>448</v>
      </c>
      <c r="N205" s="142"/>
      <c r="O205" s="142"/>
      <c r="P205"/>
      <c r="Q205"/>
      <c r="R205" s="73"/>
      <c r="S205" s="86"/>
      <c r="T205" s="86"/>
      <c r="U205" s="86"/>
      <c r="V205" s="86"/>
      <c r="W205" s="87"/>
      <c r="X205" s="75"/>
      <c r="Y205" s="75"/>
      <c r="Z205" s="75"/>
      <c r="AA205" s="75"/>
    </row>
    <row r="206" spans="1:27" s="82" customFormat="1" ht="12.75" customHeight="1" x14ac:dyDescent="0.4">
      <c r="A206" s="73" t="s">
        <v>129</v>
      </c>
      <c r="B206" s="252">
        <v>28</v>
      </c>
      <c r="C206" s="253">
        <v>24</v>
      </c>
      <c r="D206" s="254">
        <v>3</v>
      </c>
      <c r="E206" s="252">
        <v>1</v>
      </c>
      <c r="F206" s="86"/>
      <c r="G206" s="75">
        <v>1</v>
      </c>
      <c r="H206" s="75">
        <v>0.8571428571428571</v>
      </c>
      <c r="I206" s="75">
        <v>0.10714285714285714</v>
      </c>
      <c r="J206" s="75">
        <v>3.5714285714285712E-2</v>
      </c>
      <c r="K206" s="75"/>
      <c r="L206" s="75"/>
      <c r="M206" s="142" t="s">
        <v>205</v>
      </c>
      <c r="N206" s="157">
        <v>500</v>
      </c>
      <c r="O206" s="171" t="s">
        <v>206</v>
      </c>
      <c r="P206"/>
      <c r="Q206"/>
      <c r="R206" s="73"/>
      <c r="S206" s="86"/>
      <c r="T206" s="86"/>
      <c r="U206" s="86"/>
      <c r="V206" s="86"/>
      <c r="W206" s="87"/>
      <c r="X206" s="75"/>
      <c r="Y206" s="75"/>
      <c r="Z206" s="75"/>
      <c r="AA206" s="75"/>
    </row>
    <row r="207" spans="1:27" ht="12.75" customHeight="1" x14ac:dyDescent="0.4">
      <c r="A207" s="73" t="s">
        <v>130</v>
      </c>
      <c r="B207" s="252">
        <v>69</v>
      </c>
      <c r="C207" s="253">
        <v>45</v>
      </c>
      <c r="D207" s="254">
        <v>21</v>
      </c>
      <c r="E207" s="252">
        <v>3</v>
      </c>
      <c r="F207" s="86"/>
      <c r="G207" s="75">
        <v>0.971830985915493</v>
      </c>
      <c r="H207" s="75">
        <v>0.65217391304347827</v>
      </c>
      <c r="I207" s="75">
        <v>0.30434782608695654</v>
      </c>
      <c r="J207" s="75">
        <v>4.3478260869565216E-2</v>
      </c>
      <c r="K207" s="75"/>
      <c r="L207" s="75"/>
      <c r="M207" s="142" t="s">
        <v>464</v>
      </c>
      <c r="N207" s="169">
        <v>323</v>
      </c>
      <c r="O207" s="170">
        <v>0.64600000000000002</v>
      </c>
      <c r="R207" s="73"/>
      <c r="S207" s="86"/>
      <c r="T207" s="86"/>
      <c r="U207" s="86"/>
      <c r="V207" s="86"/>
      <c r="W207" s="87"/>
      <c r="X207" s="75"/>
      <c r="Y207" s="75"/>
      <c r="Z207" s="75"/>
      <c r="AA207" s="75"/>
    </row>
    <row r="208" spans="1:27" ht="12.75" customHeight="1" x14ac:dyDescent="0.4">
      <c r="A208" s="73" t="s">
        <v>131</v>
      </c>
      <c r="B208" s="252">
        <v>63</v>
      </c>
      <c r="C208" s="253">
        <v>29</v>
      </c>
      <c r="D208" s="254">
        <v>33</v>
      </c>
      <c r="E208" s="252">
        <v>1</v>
      </c>
      <c r="F208" s="86"/>
      <c r="G208" s="75">
        <v>0.984375</v>
      </c>
      <c r="H208" s="75">
        <v>0.46031746031746029</v>
      </c>
      <c r="I208" s="75">
        <v>0.52380952380952384</v>
      </c>
      <c r="J208" s="75">
        <v>1.5873015873015872E-2</v>
      </c>
      <c r="K208" s="75"/>
      <c r="L208" s="75"/>
      <c r="M208" s="142" t="s">
        <v>230</v>
      </c>
      <c r="N208" s="169">
        <v>98</v>
      </c>
      <c r="O208" s="170">
        <v>0.19600000000000001</v>
      </c>
      <c r="R208" s="73"/>
      <c r="S208" s="86"/>
      <c r="T208" s="86"/>
      <c r="U208" s="86"/>
      <c r="V208" s="86"/>
      <c r="W208" s="87"/>
      <c r="X208" s="75"/>
      <c r="Y208" s="75"/>
      <c r="Z208" s="75"/>
      <c r="AA208" s="75"/>
    </row>
    <row r="209" spans="1:27" ht="12.75" customHeight="1" x14ac:dyDescent="0.4">
      <c r="A209" s="73" t="s">
        <v>132</v>
      </c>
      <c r="B209" s="252">
        <v>33</v>
      </c>
      <c r="C209" s="253">
        <v>25</v>
      </c>
      <c r="D209" s="254">
        <v>8</v>
      </c>
      <c r="E209" s="252">
        <v>0</v>
      </c>
      <c r="F209" s="86"/>
      <c r="G209" s="75">
        <v>1</v>
      </c>
      <c r="H209" s="75">
        <v>0.75757575757575757</v>
      </c>
      <c r="I209" s="75">
        <v>0.24242424242424243</v>
      </c>
      <c r="J209" s="75">
        <v>0</v>
      </c>
      <c r="K209" s="75"/>
      <c r="L209" s="75"/>
      <c r="M209" s="142" t="s">
        <v>465</v>
      </c>
      <c r="N209" s="169">
        <v>164</v>
      </c>
      <c r="O209" s="170">
        <v>0.32800000000000001</v>
      </c>
      <c r="P209" s="92"/>
      <c r="R209" s="73"/>
      <c r="S209" s="87"/>
      <c r="T209" s="86"/>
      <c r="U209" s="86"/>
      <c r="V209" s="87"/>
      <c r="W209" s="72"/>
      <c r="X209" s="75"/>
      <c r="Y209" s="75"/>
      <c r="Z209" s="75"/>
      <c r="AA209" s="75"/>
    </row>
    <row r="210" spans="1:27" ht="12.75" customHeight="1" x14ac:dyDescent="0.4">
      <c r="A210" s="73" t="s">
        <v>133</v>
      </c>
      <c r="B210" s="252">
        <v>60</v>
      </c>
      <c r="C210" s="253">
        <v>48</v>
      </c>
      <c r="D210" s="254">
        <v>9</v>
      </c>
      <c r="E210" s="252">
        <v>3</v>
      </c>
      <c r="F210" s="86"/>
      <c r="G210" s="75">
        <v>1</v>
      </c>
      <c r="H210" s="75">
        <v>0.8</v>
      </c>
      <c r="I210" s="75">
        <v>0.15</v>
      </c>
      <c r="J210" s="75">
        <v>0.05</v>
      </c>
      <c r="K210" s="75"/>
      <c r="L210" s="75"/>
      <c r="M210" s="142" t="s">
        <v>231</v>
      </c>
      <c r="N210" s="169">
        <v>40</v>
      </c>
      <c r="O210" s="170">
        <v>0.08</v>
      </c>
      <c r="P210" s="72"/>
      <c r="Q210" s="72"/>
      <c r="R210" s="73"/>
      <c r="S210" s="72"/>
      <c r="T210" s="72"/>
      <c r="U210" s="72"/>
      <c r="V210" s="72"/>
      <c r="W210" s="72"/>
      <c r="X210" s="72"/>
      <c r="Y210" s="72"/>
      <c r="Z210" s="72"/>
      <c r="AA210" s="72"/>
    </row>
    <row r="211" spans="1:27" ht="12.75" customHeight="1" x14ac:dyDescent="0.4">
      <c r="A211" s="73" t="s">
        <v>134</v>
      </c>
      <c r="B211" s="252">
        <v>65</v>
      </c>
      <c r="C211" s="253">
        <v>37</v>
      </c>
      <c r="D211" s="254">
        <v>28</v>
      </c>
      <c r="E211" s="252">
        <v>0</v>
      </c>
      <c r="F211" s="87"/>
      <c r="G211" s="75">
        <v>0.98484848484848486</v>
      </c>
      <c r="H211" s="75">
        <v>0.56923076923076921</v>
      </c>
      <c r="I211" s="75">
        <v>0.43076923076923079</v>
      </c>
      <c r="J211" s="75">
        <v>0</v>
      </c>
      <c r="K211" s="75"/>
      <c r="L211" s="75"/>
      <c r="M211" s="142"/>
      <c r="N211" s="169"/>
      <c r="O211" s="170"/>
      <c r="P211" s="72"/>
      <c r="Q211" s="72"/>
      <c r="R211" s="73"/>
      <c r="S211" s="72"/>
      <c r="T211" s="72"/>
      <c r="U211" s="72"/>
      <c r="V211" s="72"/>
      <c r="W211" s="72"/>
      <c r="X211" s="72"/>
      <c r="Y211" s="72"/>
      <c r="Z211" s="72"/>
      <c r="AA211" s="72"/>
    </row>
    <row r="212" spans="1:27" ht="12.75" customHeight="1" x14ac:dyDescent="0.4">
      <c r="A212" s="73" t="s">
        <v>135</v>
      </c>
      <c r="B212" s="252">
        <v>71</v>
      </c>
      <c r="C212" s="253">
        <v>54</v>
      </c>
      <c r="D212" s="254">
        <v>10</v>
      </c>
      <c r="E212" s="252">
        <v>7</v>
      </c>
      <c r="F212" s="87"/>
      <c r="G212" s="75">
        <v>1</v>
      </c>
      <c r="H212" s="75">
        <v>0.76056338028169013</v>
      </c>
      <c r="I212" s="75">
        <v>0.14084507042253522</v>
      </c>
      <c r="J212" s="75">
        <v>9.8591549295774641E-2</v>
      </c>
      <c r="K212" s="75"/>
      <c r="L212" s="75"/>
      <c r="M212" s="142" t="s">
        <v>462</v>
      </c>
      <c r="N212" s="266" t="s">
        <v>441</v>
      </c>
      <c r="O212" s="171" t="s">
        <v>206</v>
      </c>
      <c r="P212" s="72"/>
      <c r="Q212" s="72"/>
      <c r="R212" s="73"/>
      <c r="S212" s="72"/>
      <c r="T212" s="72"/>
      <c r="U212" s="72"/>
      <c r="V212" s="72"/>
      <c r="W212" s="72"/>
      <c r="X212" s="72"/>
      <c r="Y212" s="72"/>
      <c r="Z212" s="72"/>
      <c r="AA212" s="72"/>
    </row>
    <row r="213" spans="1:27" ht="13.15" x14ac:dyDescent="0.4">
      <c r="A213" s="73" t="s">
        <v>382</v>
      </c>
      <c r="B213" s="252">
        <v>25</v>
      </c>
      <c r="C213" s="253">
        <v>14</v>
      </c>
      <c r="D213" s="254">
        <v>10</v>
      </c>
      <c r="E213" s="252">
        <v>1</v>
      </c>
      <c r="F213" s="87"/>
      <c r="G213" s="75">
        <v>0.96153846153846156</v>
      </c>
      <c r="H213" s="75">
        <v>0.56000000000000005</v>
      </c>
      <c r="I213" s="75">
        <v>0.4</v>
      </c>
      <c r="J213" s="75">
        <v>0.04</v>
      </c>
      <c r="K213" s="72"/>
      <c r="L213" s="72"/>
      <c r="M213" s="142" t="s">
        <v>466</v>
      </c>
      <c r="N213" s="267">
        <v>71</v>
      </c>
      <c r="O213" s="170">
        <v>0.14199999999999999</v>
      </c>
      <c r="P213" s="72"/>
      <c r="Q213" s="72"/>
      <c r="R213" s="73"/>
      <c r="S213" s="72"/>
      <c r="T213" s="72"/>
      <c r="U213" s="72"/>
      <c r="V213" s="72"/>
      <c r="W213" s="72"/>
      <c r="X213" s="72"/>
      <c r="Y213" s="72"/>
      <c r="Z213" s="72"/>
      <c r="AA213" s="72"/>
    </row>
    <row r="214" spans="1:27" ht="12.75" customHeight="1" x14ac:dyDescent="0.4">
      <c r="A214" s="73" t="s">
        <v>136</v>
      </c>
      <c r="B214" s="252">
        <v>28</v>
      </c>
      <c r="C214" s="253">
        <v>15</v>
      </c>
      <c r="D214" s="254">
        <v>12</v>
      </c>
      <c r="E214" s="252">
        <v>1</v>
      </c>
      <c r="F214" s="87"/>
      <c r="G214" s="75">
        <v>1</v>
      </c>
      <c r="H214" s="75">
        <v>0.5357142857142857</v>
      </c>
      <c r="I214" s="75">
        <v>0.42857142857142855</v>
      </c>
      <c r="J214" s="75">
        <v>3.5714285714285712E-2</v>
      </c>
      <c r="K214" s="72"/>
      <c r="L214" s="72"/>
      <c r="M214" s="142"/>
      <c r="N214" s="169"/>
      <c r="O214" s="170"/>
      <c r="P214" s="72"/>
      <c r="Q214" s="72"/>
      <c r="R214" s="73"/>
      <c r="S214" s="72"/>
      <c r="T214" s="72"/>
      <c r="U214" s="72"/>
      <c r="V214" s="72"/>
      <c r="W214" s="72"/>
      <c r="X214" s="72"/>
      <c r="Y214" s="72"/>
      <c r="Z214" s="72"/>
      <c r="AA214" s="72"/>
    </row>
    <row r="215" spans="1:27" ht="12.75" customHeight="1" thickBot="1" x14ac:dyDescent="0.45">
      <c r="A215" s="73" t="s">
        <v>308</v>
      </c>
      <c r="B215" s="255">
        <v>31</v>
      </c>
      <c r="C215" s="256">
        <v>17</v>
      </c>
      <c r="D215" s="257">
        <v>12</v>
      </c>
      <c r="E215" s="255">
        <v>2</v>
      </c>
      <c r="F215" s="87"/>
      <c r="G215" s="75">
        <v>1</v>
      </c>
      <c r="H215" s="75">
        <v>0.54838709677419351</v>
      </c>
      <c r="I215" s="75">
        <v>0.38709677419354838</v>
      </c>
      <c r="J215" s="75">
        <v>6.4516129032258063E-2</v>
      </c>
      <c r="K215" s="72"/>
      <c r="L215" s="72"/>
      <c r="M215" s="142"/>
      <c r="N215" s="169"/>
      <c r="O215" s="170"/>
      <c r="P215" s="72"/>
      <c r="Q215" s="72"/>
      <c r="R215" s="73"/>
      <c r="S215" s="72"/>
      <c r="T215" s="72"/>
      <c r="U215" s="72"/>
      <c r="V215" s="72"/>
      <c r="W215" s="72"/>
      <c r="X215" s="72"/>
      <c r="Y215" s="72"/>
      <c r="Z215" s="72"/>
      <c r="AA215" s="72"/>
    </row>
    <row r="216" spans="1:27" ht="12.75" customHeight="1" x14ac:dyDescent="0.4">
      <c r="A216" s="73" t="s">
        <v>24</v>
      </c>
      <c r="B216" s="258">
        <v>500</v>
      </c>
      <c r="C216" s="259">
        <v>329</v>
      </c>
      <c r="D216" s="260">
        <v>150</v>
      </c>
      <c r="E216" s="261">
        <v>21</v>
      </c>
      <c r="F216" s="72"/>
      <c r="G216" s="75">
        <v>0.99009900990099009</v>
      </c>
      <c r="H216" s="75">
        <v>0.65800000000000003</v>
      </c>
      <c r="I216" s="75">
        <v>0.3</v>
      </c>
      <c r="J216" s="75">
        <v>4.2000000000000003E-2</v>
      </c>
      <c r="K216" s="72"/>
      <c r="L216" s="74"/>
      <c r="M216" s="142"/>
      <c r="N216" s="75"/>
      <c r="O216" s="75"/>
      <c r="R216" s="73"/>
      <c r="S216" s="72"/>
      <c r="T216" s="72"/>
      <c r="U216" s="72"/>
      <c r="V216" s="72"/>
      <c r="W216" s="86"/>
      <c r="X216" s="72"/>
      <c r="Y216" s="72"/>
      <c r="Z216" s="72"/>
      <c r="AA216" s="72"/>
    </row>
    <row r="217" spans="1:27" ht="12.75" customHeight="1" x14ac:dyDescent="0.4">
      <c r="A217" s="73"/>
      <c r="B217" s="87"/>
      <c r="C217" s="86"/>
      <c r="D217" s="86"/>
      <c r="E217" s="87"/>
      <c r="F217" s="72"/>
      <c r="G217" s="75"/>
      <c r="H217" s="75"/>
      <c r="I217" s="75"/>
      <c r="J217" s="75"/>
      <c r="K217" s="74"/>
      <c r="L217" s="75"/>
      <c r="M217" s="142"/>
      <c r="N217" s="75"/>
      <c r="O217" s="75"/>
      <c r="R217" s="73"/>
      <c r="S217" s="74"/>
      <c r="T217" s="74"/>
      <c r="U217" s="74"/>
      <c r="V217" s="74"/>
      <c r="W217" s="86"/>
      <c r="X217" s="74"/>
      <c r="Y217" s="74"/>
      <c r="Z217" s="74"/>
      <c r="AA217" s="74"/>
    </row>
    <row r="218" spans="1:27" ht="12.75" customHeight="1" x14ac:dyDescent="0.4">
      <c r="A218" s="73"/>
      <c r="B218" s="87"/>
      <c r="C218" s="86"/>
      <c r="D218" s="86"/>
      <c r="E218" s="87"/>
      <c r="F218" s="72"/>
      <c r="G218" s="75"/>
      <c r="H218" s="75"/>
      <c r="I218" s="75"/>
      <c r="J218" s="75"/>
      <c r="K218" s="75"/>
      <c r="L218" s="75"/>
      <c r="M218" s="73"/>
      <c r="N218" s="168"/>
      <c r="O218" s="75"/>
      <c r="R218" s="73"/>
      <c r="S218" s="86"/>
      <c r="T218" s="86"/>
      <c r="U218" s="86"/>
      <c r="V218" s="86"/>
      <c r="W218" s="86"/>
      <c r="X218" s="75"/>
      <c r="Y218" s="75"/>
      <c r="Z218" s="75"/>
      <c r="AA218" s="75"/>
    </row>
    <row r="219" spans="1:27" ht="12.75" customHeight="1" x14ac:dyDescent="0.4">
      <c r="A219" s="73" t="s">
        <v>445</v>
      </c>
      <c r="B219" s="72"/>
      <c r="C219" s="72"/>
      <c r="D219" s="72"/>
      <c r="E219" s="72"/>
      <c r="F219" s="72"/>
      <c r="G219" s="72"/>
      <c r="H219" s="72"/>
      <c r="I219" s="72"/>
      <c r="J219" s="72"/>
      <c r="K219" s="75"/>
      <c r="L219" s="75"/>
      <c r="M219" s="142"/>
      <c r="N219" s="142"/>
      <c r="O219" s="142"/>
      <c r="R219" s="73"/>
      <c r="S219" s="86"/>
      <c r="T219" s="86"/>
      <c r="U219" s="86"/>
      <c r="V219" s="86"/>
      <c r="W219" s="86"/>
      <c r="X219" s="75"/>
      <c r="Y219" s="75"/>
      <c r="Z219" s="75"/>
      <c r="AA219" s="75"/>
    </row>
    <row r="220" spans="1:27" ht="12.75" customHeight="1" x14ac:dyDescent="0.4">
      <c r="A220" s="73" t="s">
        <v>418</v>
      </c>
      <c r="B220" s="72"/>
      <c r="C220" s="72"/>
      <c r="D220" s="72"/>
      <c r="E220" s="72"/>
      <c r="F220" s="72"/>
      <c r="G220" s="72"/>
      <c r="H220" s="72"/>
      <c r="I220" s="72"/>
      <c r="J220" s="72"/>
      <c r="K220" s="75"/>
      <c r="L220" s="75"/>
      <c r="M220" s="142"/>
      <c r="N220" s="142"/>
      <c r="O220" s="142"/>
      <c r="R220" s="73"/>
      <c r="S220" s="86"/>
      <c r="T220" s="86"/>
      <c r="U220" s="86"/>
      <c r="V220" s="86"/>
      <c r="W220" s="86"/>
      <c r="X220" s="75"/>
      <c r="Y220" s="75"/>
      <c r="Z220" s="75"/>
      <c r="AA220" s="75"/>
    </row>
    <row r="221" spans="1:27" ht="12.75" customHeight="1" x14ac:dyDescent="0.4">
      <c r="A221" s="73" t="s">
        <v>482</v>
      </c>
      <c r="B221" s="72"/>
      <c r="C221" s="72"/>
      <c r="D221" s="72"/>
      <c r="E221" s="72"/>
      <c r="F221" s="72"/>
      <c r="G221" s="72"/>
      <c r="H221" s="72"/>
      <c r="I221" s="72"/>
      <c r="J221" s="72"/>
      <c r="K221" s="75"/>
      <c r="L221" s="75"/>
      <c r="M221" s="142"/>
      <c r="N221" s="142"/>
      <c r="O221" s="142"/>
      <c r="P221" s="72"/>
      <c r="R221" s="73"/>
      <c r="S221" s="86"/>
      <c r="T221" s="86"/>
      <c r="U221" s="86"/>
      <c r="V221" s="86"/>
      <c r="W221" s="86"/>
      <c r="X221" s="75"/>
      <c r="Y221" s="75"/>
      <c r="Z221" s="75"/>
      <c r="AA221" s="75"/>
    </row>
    <row r="222" spans="1:27" ht="12.75" customHeight="1" x14ac:dyDescent="0.4">
      <c r="A222" s="73"/>
      <c r="B222" s="72" t="s">
        <v>141</v>
      </c>
      <c r="C222" s="72"/>
      <c r="D222" s="72"/>
      <c r="E222" s="72"/>
      <c r="F222" s="86"/>
      <c r="G222" s="72" t="s">
        <v>148</v>
      </c>
      <c r="H222" s="72"/>
      <c r="I222" s="72"/>
      <c r="J222" s="72"/>
      <c r="K222" s="75"/>
      <c r="L222" s="75"/>
      <c r="M222" s="142" t="s">
        <v>445</v>
      </c>
      <c r="N222" s="142"/>
      <c r="O222" s="142"/>
      <c r="R222" s="73"/>
      <c r="S222" s="86"/>
      <c r="T222" s="86"/>
      <c r="U222" s="86"/>
      <c r="V222" s="86"/>
      <c r="W222" s="86"/>
      <c r="X222" s="75"/>
      <c r="Y222" s="75"/>
      <c r="Z222" s="75"/>
      <c r="AA222" s="75"/>
    </row>
    <row r="223" spans="1:27" s="82" customFormat="1" ht="12.75" customHeight="1" thickBot="1" x14ac:dyDescent="0.45">
      <c r="A223" s="73" t="s">
        <v>137</v>
      </c>
      <c r="B223" s="74" t="s">
        <v>113</v>
      </c>
      <c r="C223" s="74" t="s">
        <v>114</v>
      </c>
      <c r="D223" s="74" t="s">
        <v>115</v>
      </c>
      <c r="E223" s="74" t="s">
        <v>116</v>
      </c>
      <c r="F223" s="86"/>
      <c r="G223" s="74" t="s">
        <v>113</v>
      </c>
      <c r="H223" s="74" t="s">
        <v>114</v>
      </c>
      <c r="I223" s="74" t="s">
        <v>115</v>
      </c>
      <c r="J223" s="74" t="s">
        <v>116</v>
      </c>
      <c r="K223" s="75"/>
      <c r="L223" s="75"/>
      <c r="M223" s="142" t="s">
        <v>483</v>
      </c>
      <c r="N223" s="169"/>
      <c r="O223" s="170"/>
      <c r="P223"/>
      <c r="Q223"/>
      <c r="R223" s="73"/>
      <c r="S223" s="86"/>
      <c r="T223" s="86"/>
      <c r="U223" s="86"/>
      <c r="V223" s="86"/>
      <c r="W223" s="86"/>
      <c r="X223" s="75"/>
      <c r="Y223" s="75"/>
      <c r="Z223" s="75"/>
      <c r="AA223" s="75"/>
    </row>
    <row r="224" spans="1:27" s="82" customFormat="1" ht="12.75" customHeight="1" x14ac:dyDescent="0.4">
      <c r="A224" s="73" t="s">
        <v>128</v>
      </c>
      <c r="B224" s="249">
        <v>28</v>
      </c>
      <c r="C224" s="250">
        <v>13</v>
      </c>
      <c r="D224" s="251">
        <v>13</v>
      </c>
      <c r="E224" s="249">
        <v>2</v>
      </c>
      <c r="F224" s="86"/>
      <c r="G224" s="75">
        <f>B224/28</f>
        <v>1</v>
      </c>
      <c r="H224" s="75">
        <f>C224/B224</f>
        <v>0.4642857142857143</v>
      </c>
      <c r="I224" s="75">
        <f>D224/B224</f>
        <v>0.4642857142857143</v>
      </c>
      <c r="J224" s="75">
        <f>E224/B224</f>
        <v>7.1428571428571425E-2</v>
      </c>
      <c r="K224" s="75"/>
      <c r="L224" s="75"/>
      <c r="M224" s="142" t="s">
        <v>448</v>
      </c>
      <c r="N224" s="142"/>
      <c r="O224" s="142"/>
      <c r="P224"/>
      <c r="Q224"/>
      <c r="R224" s="73"/>
      <c r="S224" s="86"/>
      <c r="T224" s="86"/>
      <c r="U224" s="86"/>
      <c r="V224" s="86"/>
      <c r="W224" s="87"/>
      <c r="X224" s="75"/>
      <c r="Y224" s="75"/>
      <c r="Z224" s="75"/>
      <c r="AA224" s="75"/>
    </row>
    <row r="225" spans="1:27" s="82" customFormat="1" ht="12.75" customHeight="1" x14ac:dyDescent="0.4">
      <c r="A225" s="73" t="s">
        <v>129</v>
      </c>
      <c r="B225" s="252">
        <v>28</v>
      </c>
      <c r="C225" s="253">
        <v>16</v>
      </c>
      <c r="D225" s="254">
        <v>11</v>
      </c>
      <c r="E225" s="252">
        <v>1</v>
      </c>
      <c r="F225" s="86"/>
      <c r="G225" s="75">
        <f>B225/28</f>
        <v>1</v>
      </c>
      <c r="H225" s="75">
        <f t="shared" ref="H225:H234" si="3">C225/B225</f>
        <v>0.5714285714285714</v>
      </c>
      <c r="I225" s="75">
        <f t="shared" ref="I225:I235" si="4">D225/B225</f>
        <v>0.39285714285714285</v>
      </c>
      <c r="J225" s="75">
        <f t="shared" ref="J225:J235" si="5">E225/B225</f>
        <v>3.5714285714285712E-2</v>
      </c>
      <c r="K225" s="75"/>
      <c r="L225" s="75"/>
      <c r="M225" s="142" t="s">
        <v>205</v>
      </c>
      <c r="N225" s="157">
        <v>498</v>
      </c>
      <c r="O225" s="171" t="s">
        <v>206</v>
      </c>
      <c r="P225"/>
      <c r="Q225"/>
      <c r="R225" s="73"/>
      <c r="S225" s="86"/>
      <c r="T225" s="86"/>
      <c r="U225" s="86"/>
      <c r="V225" s="86"/>
      <c r="W225" s="87"/>
      <c r="X225" s="75"/>
      <c r="Y225" s="75"/>
      <c r="Z225" s="75"/>
      <c r="AA225" s="75"/>
    </row>
    <row r="226" spans="1:27" s="82" customFormat="1" ht="12.75" customHeight="1" x14ac:dyDescent="0.4">
      <c r="A226" s="73" t="s">
        <v>130</v>
      </c>
      <c r="B226" s="252">
        <v>70</v>
      </c>
      <c r="C226" s="253">
        <v>42</v>
      </c>
      <c r="D226" s="254">
        <v>18</v>
      </c>
      <c r="E226" s="252">
        <v>10</v>
      </c>
      <c r="F226" s="86"/>
      <c r="G226" s="75">
        <f>B226/70</f>
        <v>1</v>
      </c>
      <c r="H226" s="75">
        <f t="shared" si="3"/>
        <v>0.6</v>
      </c>
      <c r="I226" s="75">
        <f t="shared" si="4"/>
        <v>0.25714285714285712</v>
      </c>
      <c r="J226" s="75">
        <f t="shared" si="5"/>
        <v>0.14285714285714285</v>
      </c>
      <c r="K226" s="75"/>
      <c r="L226" s="75"/>
      <c r="M226" s="142" t="s">
        <v>484</v>
      </c>
      <c r="N226" s="169">
        <v>316</v>
      </c>
      <c r="O226" s="170">
        <f>N226/N225</f>
        <v>0.63453815261044177</v>
      </c>
      <c r="P226"/>
      <c r="Q226"/>
      <c r="R226" s="73"/>
      <c r="S226" s="86"/>
      <c r="T226" s="86"/>
      <c r="U226" s="86"/>
      <c r="V226" s="86"/>
      <c r="W226" s="87"/>
      <c r="X226" s="75"/>
      <c r="Y226" s="75"/>
      <c r="Z226" s="75"/>
      <c r="AA226" s="75"/>
    </row>
    <row r="227" spans="1:27" ht="12.75" customHeight="1" x14ac:dyDescent="0.4">
      <c r="A227" s="73" t="s">
        <v>131</v>
      </c>
      <c r="B227" s="252">
        <v>62</v>
      </c>
      <c r="C227" s="253">
        <v>47</v>
      </c>
      <c r="D227" s="254">
        <v>10</v>
      </c>
      <c r="E227" s="252">
        <v>5</v>
      </c>
      <c r="F227" s="86"/>
      <c r="G227" s="75">
        <f>B227/64</f>
        <v>0.96875</v>
      </c>
      <c r="H227" s="75">
        <f t="shared" si="3"/>
        <v>0.75806451612903225</v>
      </c>
      <c r="I227" s="75">
        <f t="shared" si="4"/>
        <v>0.16129032258064516</v>
      </c>
      <c r="J227" s="75">
        <f t="shared" si="5"/>
        <v>8.0645161290322578E-2</v>
      </c>
      <c r="K227" s="75"/>
      <c r="L227" s="75"/>
      <c r="M227" s="142" t="s">
        <v>230</v>
      </c>
      <c r="N227" s="169">
        <v>103</v>
      </c>
      <c r="O227" s="170">
        <f>N227/N225</f>
        <v>0.20682730923694778</v>
      </c>
      <c r="R227" s="73"/>
      <c r="S227" s="86"/>
      <c r="T227" s="86"/>
      <c r="U227" s="86"/>
      <c r="V227" s="86"/>
      <c r="W227" s="87"/>
      <c r="X227" s="75"/>
      <c r="Y227" s="75"/>
      <c r="Z227" s="75"/>
      <c r="AA227" s="75"/>
    </row>
    <row r="228" spans="1:27" ht="12.75" customHeight="1" x14ac:dyDescent="0.4">
      <c r="A228" s="73" t="s">
        <v>132</v>
      </c>
      <c r="B228" s="252">
        <v>33</v>
      </c>
      <c r="C228" s="253">
        <v>21</v>
      </c>
      <c r="D228" s="254">
        <v>5</v>
      </c>
      <c r="E228" s="252">
        <v>7</v>
      </c>
      <c r="F228" s="86"/>
      <c r="G228" s="75">
        <f>B228/33</f>
        <v>1</v>
      </c>
      <c r="H228" s="75">
        <f t="shared" si="3"/>
        <v>0.63636363636363635</v>
      </c>
      <c r="I228" s="75">
        <f t="shared" si="4"/>
        <v>0.15151515151515152</v>
      </c>
      <c r="J228" s="75">
        <f t="shared" si="5"/>
        <v>0.21212121212121213</v>
      </c>
      <c r="K228" s="75"/>
      <c r="L228" s="75"/>
      <c r="M228" s="142" t="s">
        <v>485</v>
      </c>
      <c r="N228" s="169">
        <v>165</v>
      </c>
      <c r="O228" s="170">
        <f>N228/N225</f>
        <v>0.33132530120481929</v>
      </c>
      <c r="R228" s="73"/>
      <c r="S228" s="86"/>
      <c r="T228" s="86"/>
      <c r="U228" s="86"/>
      <c r="V228" s="86"/>
      <c r="W228" s="87"/>
      <c r="X228" s="75"/>
      <c r="Y228" s="75"/>
      <c r="Z228" s="75"/>
      <c r="AA228" s="75"/>
    </row>
    <row r="229" spans="1:27" ht="12.75" customHeight="1" x14ac:dyDescent="0.4">
      <c r="A229" s="73" t="s">
        <v>133</v>
      </c>
      <c r="B229" s="252">
        <v>60</v>
      </c>
      <c r="C229" s="253">
        <v>47</v>
      </c>
      <c r="D229" s="254">
        <v>7</v>
      </c>
      <c r="E229" s="252">
        <v>6</v>
      </c>
      <c r="F229" s="86"/>
      <c r="G229" s="75">
        <f>B229/61</f>
        <v>0.98360655737704916</v>
      </c>
      <c r="H229" s="75">
        <f t="shared" si="3"/>
        <v>0.78333333333333333</v>
      </c>
      <c r="I229" s="75">
        <f t="shared" si="4"/>
        <v>0.11666666666666667</v>
      </c>
      <c r="J229" s="75">
        <f t="shared" si="5"/>
        <v>0.1</v>
      </c>
      <c r="K229" s="75"/>
      <c r="L229" s="75"/>
      <c r="M229" s="142" t="s">
        <v>231</v>
      </c>
      <c r="N229" s="169">
        <v>38</v>
      </c>
      <c r="O229" s="170">
        <f>N229/N225</f>
        <v>7.6305220883534142E-2</v>
      </c>
      <c r="P229" s="92"/>
      <c r="R229" s="73"/>
      <c r="S229" s="87"/>
      <c r="T229" s="86"/>
      <c r="U229" s="86"/>
      <c r="V229" s="87"/>
      <c r="W229" s="72"/>
      <c r="X229" s="75"/>
      <c r="Y229" s="75"/>
      <c r="Z229" s="75"/>
      <c r="AA229" s="75"/>
    </row>
    <row r="230" spans="1:27" ht="12.75" customHeight="1" x14ac:dyDescent="0.4">
      <c r="A230" s="73" t="s">
        <v>134</v>
      </c>
      <c r="B230" s="252">
        <v>66</v>
      </c>
      <c r="C230" s="253">
        <v>47</v>
      </c>
      <c r="D230" s="254">
        <v>15</v>
      </c>
      <c r="E230" s="252">
        <v>4</v>
      </c>
      <c r="F230" s="87"/>
      <c r="G230" s="75">
        <f>B230/66</f>
        <v>1</v>
      </c>
      <c r="H230" s="75">
        <f t="shared" si="3"/>
        <v>0.71212121212121215</v>
      </c>
      <c r="I230" s="75">
        <f t="shared" si="4"/>
        <v>0.22727272727272727</v>
      </c>
      <c r="J230" s="75">
        <f t="shared" si="5"/>
        <v>6.0606060606060608E-2</v>
      </c>
      <c r="K230" s="75"/>
      <c r="L230" s="75"/>
      <c r="M230" s="142"/>
      <c r="N230" s="169"/>
      <c r="O230" s="170"/>
      <c r="S230" s="82"/>
    </row>
    <row r="231" spans="1:27" ht="12.75" customHeight="1" x14ac:dyDescent="0.4">
      <c r="A231" s="73" t="s">
        <v>135</v>
      </c>
      <c r="B231" s="252">
        <v>70</v>
      </c>
      <c r="C231" s="253">
        <v>58</v>
      </c>
      <c r="D231" s="254">
        <v>11</v>
      </c>
      <c r="E231" s="252">
        <v>1</v>
      </c>
      <c r="F231" s="87"/>
      <c r="G231" s="75">
        <f>B231/70</f>
        <v>1</v>
      </c>
      <c r="H231" s="75">
        <f t="shared" si="3"/>
        <v>0.82857142857142863</v>
      </c>
      <c r="I231" s="75">
        <f t="shared" si="4"/>
        <v>0.15714285714285714</v>
      </c>
      <c r="J231" s="75">
        <f t="shared" si="5"/>
        <v>1.4285714285714285E-2</v>
      </c>
      <c r="K231" s="75"/>
      <c r="L231" s="75"/>
      <c r="M231" s="142" t="s">
        <v>486</v>
      </c>
      <c r="N231" s="266" t="s">
        <v>441</v>
      </c>
      <c r="O231" s="171" t="s">
        <v>206</v>
      </c>
      <c r="P231" s="72"/>
      <c r="Q231" s="72"/>
      <c r="R231" s="73"/>
      <c r="S231" s="72"/>
      <c r="T231" s="72"/>
      <c r="U231" s="72"/>
      <c r="V231" s="72"/>
      <c r="W231" s="72"/>
      <c r="X231" s="72"/>
      <c r="Y231" s="72"/>
      <c r="Z231" s="72"/>
      <c r="AA231" s="72"/>
    </row>
    <row r="232" spans="1:27" ht="12.75" customHeight="1" x14ac:dyDescent="0.4">
      <c r="A232" s="73" t="s">
        <v>382</v>
      </c>
      <c r="B232" s="252">
        <v>25</v>
      </c>
      <c r="C232" s="253">
        <v>18</v>
      </c>
      <c r="D232" s="254">
        <v>6</v>
      </c>
      <c r="E232" s="252">
        <v>1</v>
      </c>
      <c r="F232" s="87"/>
      <c r="G232" s="75">
        <f>B232/26</f>
        <v>0.96153846153846156</v>
      </c>
      <c r="H232" s="75">
        <f t="shared" si="3"/>
        <v>0.72</v>
      </c>
      <c r="I232" s="75">
        <f t="shared" si="4"/>
        <v>0.24</v>
      </c>
      <c r="J232" s="75">
        <f t="shared" si="5"/>
        <v>0.04</v>
      </c>
      <c r="K232" s="72"/>
      <c r="L232" s="72"/>
      <c r="M232" s="142" t="s">
        <v>487</v>
      </c>
      <c r="N232" s="267">
        <v>68</v>
      </c>
      <c r="O232" s="170">
        <f>N232/N225</f>
        <v>0.13654618473895583</v>
      </c>
      <c r="R232" s="73"/>
      <c r="S232" s="72"/>
      <c r="T232" s="72"/>
      <c r="U232" s="72"/>
      <c r="V232" s="72"/>
      <c r="W232" s="86"/>
      <c r="X232" s="72"/>
      <c r="Y232" s="72"/>
      <c r="Z232" s="72"/>
      <c r="AA232" s="72"/>
    </row>
    <row r="233" spans="1:27" ht="12.75" customHeight="1" x14ac:dyDescent="0.4">
      <c r="A233" s="73" t="s">
        <v>136</v>
      </c>
      <c r="B233" s="252">
        <v>28</v>
      </c>
      <c r="C233" s="253">
        <v>21</v>
      </c>
      <c r="D233" s="254">
        <v>6</v>
      </c>
      <c r="E233" s="252">
        <v>1</v>
      </c>
      <c r="F233" s="87"/>
      <c r="G233" s="75">
        <f>B233/28</f>
        <v>1</v>
      </c>
      <c r="H233" s="75">
        <f t="shared" si="3"/>
        <v>0.75</v>
      </c>
      <c r="I233" s="75">
        <f t="shared" si="4"/>
        <v>0.21428571428571427</v>
      </c>
      <c r="J233" s="75">
        <f t="shared" si="5"/>
        <v>3.5714285714285712E-2</v>
      </c>
      <c r="K233" s="72"/>
      <c r="L233" s="74"/>
      <c r="M233" s="142"/>
      <c r="N233" s="169"/>
      <c r="O233" s="170"/>
      <c r="R233" s="73"/>
      <c r="S233" s="74"/>
      <c r="T233" s="74"/>
      <c r="U233" s="74"/>
      <c r="V233" s="74"/>
      <c r="W233" s="86"/>
      <c r="X233" s="74"/>
      <c r="Y233" s="74"/>
      <c r="Z233" s="74"/>
      <c r="AA233" s="74"/>
    </row>
    <row r="234" spans="1:27" ht="12.75" customHeight="1" thickBot="1" x14ac:dyDescent="0.45">
      <c r="A234" s="73" t="s">
        <v>308</v>
      </c>
      <c r="B234" s="255">
        <v>31</v>
      </c>
      <c r="C234" s="256">
        <v>18</v>
      </c>
      <c r="D234" s="257">
        <v>11</v>
      </c>
      <c r="E234" s="255">
        <v>2</v>
      </c>
      <c r="F234" s="87"/>
      <c r="G234" s="75">
        <f>B234/31</f>
        <v>1</v>
      </c>
      <c r="H234" s="75">
        <f t="shared" si="3"/>
        <v>0.58064516129032262</v>
      </c>
      <c r="I234" s="75">
        <f t="shared" si="4"/>
        <v>0.35483870967741937</v>
      </c>
      <c r="J234" s="75">
        <f t="shared" si="5"/>
        <v>6.4516129032258063E-2</v>
      </c>
      <c r="K234" s="74"/>
      <c r="L234" s="75"/>
      <c r="M234" s="142"/>
      <c r="N234" s="169"/>
      <c r="O234" s="170"/>
      <c r="R234" s="73"/>
      <c r="S234" s="86"/>
      <c r="T234" s="86"/>
      <c r="U234" s="86"/>
      <c r="V234" s="86"/>
      <c r="W234" s="86"/>
      <c r="X234" s="75"/>
      <c r="Y234" s="75"/>
      <c r="Z234" s="75"/>
      <c r="AA234" s="75"/>
    </row>
    <row r="235" spans="1:27" ht="12.75" customHeight="1" x14ac:dyDescent="0.4">
      <c r="A235" s="73" t="s">
        <v>24</v>
      </c>
      <c r="B235" s="258">
        <v>501</v>
      </c>
      <c r="C235" s="259">
        <v>348</v>
      </c>
      <c r="D235" s="260">
        <v>113</v>
      </c>
      <c r="E235" s="261">
        <v>40</v>
      </c>
      <c r="F235" s="72"/>
      <c r="G235" s="75">
        <f>B235/505</f>
        <v>0.99207920792079207</v>
      </c>
      <c r="H235" s="75">
        <f>C235/B235</f>
        <v>0.69461077844311381</v>
      </c>
      <c r="I235" s="75">
        <f t="shared" si="4"/>
        <v>0.22554890219560877</v>
      </c>
      <c r="J235" s="75">
        <f t="shared" si="5"/>
        <v>7.9840319361277445E-2</v>
      </c>
      <c r="K235" s="75"/>
      <c r="L235" s="75"/>
      <c r="M235" s="142"/>
      <c r="N235" s="75"/>
      <c r="O235" s="75"/>
      <c r="R235" s="73"/>
      <c r="S235" s="86"/>
      <c r="T235" s="86"/>
      <c r="U235" s="86"/>
      <c r="V235" s="86"/>
      <c r="W235" s="86"/>
      <c r="X235" s="75"/>
      <c r="Y235" s="75"/>
      <c r="Z235" s="75"/>
      <c r="AA235" s="75"/>
    </row>
    <row r="236" spans="1:27" ht="12.75" customHeight="1" x14ac:dyDescent="0.4">
      <c r="A236" s="73"/>
      <c r="B236" s="87"/>
      <c r="C236" s="86"/>
      <c r="D236" s="86"/>
      <c r="E236" s="87"/>
      <c r="F236" s="72"/>
      <c r="G236" s="75"/>
      <c r="H236" s="75"/>
      <c r="I236" s="75"/>
      <c r="J236" s="75"/>
      <c r="K236" s="75"/>
      <c r="L236" s="75"/>
      <c r="M236" s="142"/>
      <c r="N236" s="75"/>
      <c r="O236" s="75"/>
      <c r="R236" s="73"/>
      <c r="S236" s="86"/>
      <c r="T236" s="86"/>
      <c r="U236" s="86"/>
      <c r="V236" s="86"/>
      <c r="W236" s="86"/>
      <c r="X236" s="75"/>
      <c r="Y236" s="75"/>
      <c r="Z236" s="75"/>
      <c r="AA236" s="75"/>
    </row>
    <row r="237" spans="1:27" ht="12.75" customHeight="1" x14ac:dyDescent="0.4">
      <c r="A237" s="73"/>
      <c r="B237" s="87"/>
      <c r="C237" s="86"/>
      <c r="D237" s="86"/>
      <c r="E237" s="87"/>
      <c r="F237" s="72"/>
      <c r="G237" s="75"/>
      <c r="H237" s="75"/>
      <c r="I237" s="75"/>
      <c r="J237" s="75"/>
      <c r="K237" s="75"/>
      <c r="L237" s="75"/>
      <c r="M237" s="73"/>
      <c r="N237" s="168"/>
      <c r="O237" s="75"/>
      <c r="P237" s="72"/>
      <c r="R237" s="73"/>
      <c r="S237" s="86"/>
      <c r="T237" s="86"/>
      <c r="U237" s="86"/>
      <c r="V237" s="86"/>
      <c r="W237" s="86"/>
      <c r="X237" s="75"/>
      <c r="Y237" s="75"/>
      <c r="Z237" s="75"/>
      <c r="AA237" s="75"/>
    </row>
    <row r="238" spans="1:27" ht="12.75" customHeight="1" x14ac:dyDescent="0.4">
      <c r="A238" s="73" t="s">
        <v>432</v>
      </c>
      <c r="B238" s="72"/>
      <c r="C238" s="72"/>
      <c r="D238" s="72"/>
      <c r="E238" s="72"/>
      <c r="F238" s="72"/>
      <c r="G238" s="72"/>
      <c r="H238" s="72"/>
      <c r="I238" s="72"/>
      <c r="J238" s="72"/>
      <c r="K238" s="75"/>
      <c r="L238" s="75"/>
      <c r="M238" s="6"/>
      <c r="N238" s="6"/>
      <c r="O238" s="113"/>
      <c r="R238" s="73"/>
      <c r="S238" s="86"/>
      <c r="T238" s="86"/>
      <c r="U238" s="86"/>
      <c r="V238" s="86"/>
      <c r="W238" s="86"/>
      <c r="X238" s="75"/>
      <c r="Y238" s="75"/>
      <c r="Z238" s="75"/>
      <c r="AA238" s="75"/>
    </row>
    <row r="239" spans="1:27" s="53" customFormat="1" ht="12.75" customHeight="1" x14ac:dyDescent="0.4">
      <c r="A239" s="73" t="s">
        <v>443</v>
      </c>
      <c r="B239" s="72"/>
      <c r="C239" s="72"/>
      <c r="D239" s="72"/>
      <c r="E239" s="72"/>
      <c r="F239" s="72"/>
      <c r="G239" s="72"/>
      <c r="H239" s="72"/>
      <c r="I239" s="72"/>
      <c r="J239" s="72"/>
      <c r="K239" s="75"/>
      <c r="L239" s="75"/>
      <c r="M239" s="6"/>
      <c r="N239" s="6"/>
      <c r="O239" s="6"/>
      <c r="P239"/>
      <c r="Q239"/>
      <c r="R239" s="73"/>
      <c r="S239" s="86"/>
      <c r="T239" s="86"/>
      <c r="U239" s="86"/>
      <c r="V239" s="86"/>
      <c r="W239" s="86"/>
      <c r="X239" s="75"/>
      <c r="Y239" s="75"/>
      <c r="Z239" s="75"/>
      <c r="AA239" s="75"/>
    </row>
    <row r="240" spans="1:27" s="53" customFormat="1" ht="12.75" customHeight="1" x14ac:dyDescent="0.4">
      <c r="A240" s="73" t="s">
        <v>444</v>
      </c>
      <c r="B240" s="72"/>
      <c r="C240" s="72"/>
      <c r="D240" s="72"/>
      <c r="E240" s="72"/>
      <c r="F240" s="72"/>
      <c r="G240" s="72"/>
      <c r="H240" s="72"/>
      <c r="I240" s="72"/>
      <c r="J240" s="72"/>
      <c r="K240" s="75"/>
      <c r="L240" s="75"/>
      <c r="M240" s="6"/>
      <c r="N240" s="6"/>
      <c r="O240" s="6"/>
      <c r="P240"/>
      <c r="Q240"/>
      <c r="R240" s="73"/>
      <c r="S240" s="86"/>
      <c r="T240" s="86"/>
      <c r="U240" s="86"/>
      <c r="V240" s="86"/>
      <c r="W240" s="87"/>
      <c r="X240" s="75"/>
      <c r="Y240" s="75"/>
      <c r="Z240" s="75"/>
      <c r="AA240" s="75"/>
    </row>
    <row r="241" spans="1:27" s="53" customFormat="1" ht="12.75" customHeight="1" x14ac:dyDescent="0.4">
      <c r="A241" s="73"/>
      <c r="B241" s="72" t="s">
        <v>141</v>
      </c>
      <c r="C241" s="72"/>
      <c r="D241" s="72"/>
      <c r="E241" s="72"/>
      <c r="F241" s="86"/>
      <c r="G241" s="72" t="s">
        <v>148</v>
      </c>
      <c r="H241" s="72"/>
      <c r="I241" s="72"/>
      <c r="J241" s="72"/>
      <c r="K241" s="75"/>
      <c r="L241" s="75"/>
      <c r="M241" s="6" t="s">
        <v>432</v>
      </c>
      <c r="N241" s="6"/>
      <c r="O241" s="6"/>
      <c r="P241"/>
      <c r="Q241"/>
      <c r="R241" s="73"/>
      <c r="S241" s="86"/>
      <c r="T241" s="86"/>
      <c r="U241" s="86"/>
      <c r="V241" s="86"/>
      <c r="W241" s="87"/>
      <c r="X241" s="75"/>
      <c r="Y241" s="75"/>
      <c r="Z241" s="75"/>
      <c r="AA241" s="75"/>
    </row>
    <row r="242" spans="1:27" s="53" customFormat="1" ht="12.75" customHeight="1" x14ac:dyDescent="0.4">
      <c r="A242" s="73" t="s">
        <v>137</v>
      </c>
      <c r="B242" s="74" t="s">
        <v>113</v>
      </c>
      <c r="C242" s="74" t="s">
        <v>114</v>
      </c>
      <c r="D242" s="74" t="s">
        <v>115</v>
      </c>
      <c r="E242" s="74" t="s">
        <v>116</v>
      </c>
      <c r="F242" s="86"/>
      <c r="G242" s="74" t="s">
        <v>113</v>
      </c>
      <c r="H242" s="74" t="s">
        <v>114</v>
      </c>
      <c r="I242" s="74" t="s">
        <v>115</v>
      </c>
      <c r="J242" s="74" t="s">
        <v>116</v>
      </c>
      <c r="K242" s="75"/>
      <c r="L242" s="75"/>
      <c r="M242" s="6" t="s">
        <v>437</v>
      </c>
      <c r="N242" s="139"/>
      <c r="O242" s="140"/>
      <c r="P242"/>
      <c r="Q242"/>
      <c r="R242" s="73"/>
      <c r="S242" s="86"/>
      <c r="T242" s="86"/>
      <c r="U242" s="86"/>
      <c r="V242" s="86"/>
      <c r="W242" s="87"/>
      <c r="X242" s="75"/>
      <c r="Y242" s="75"/>
      <c r="Z242" s="75"/>
      <c r="AA242" s="75"/>
    </row>
    <row r="243" spans="1:27" ht="12.75" customHeight="1" x14ac:dyDescent="0.4">
      <c r="A243" s="73" t="s">
        <v>128</v>
      </c>
      <c r="B243" s="86">
        <v>28</v>
      </c>
      <c r="C243" s="86">
        <v>16</v>
      </c>
      <c r="D243" s="86">
        <v>11</v>
      </c>
      <c r="E243" s="86">
        <v>1</v>
      </c>
      <c r="F243" s="86"/>
      <c r="G243" s="75">
        <v>1</v>
      </c>
      <c r="H243" s="75">
        <v>0.5714285714285714</v>
      </c>
      <c r="I243" s="75">
        <v>0.39285714285714285</v>
      </c>
      <c r="J243" s="75">
        <v>3.5714285714285712E-2</v>
      </c>
      <c r="K243" s="75"/>
      <c r="L243" s="75"/>
      <c r="M243" s="6" t="s">
        <v>254</v>
      </c>
      <c r="N243" s="6"/>
      <c r="O243" s="6"/>
      <c r="R243" s="73"/>
      <c r="S243" s="86"/>
      <c r="T243" s="86"/>
      <c r="U243" s="86"/>
      <c r="V243" s="86"/>
      <c r="W243" s="87"/>
      <c r="X243" s="75"/>
      <c r="Y243" s="75"/>
      <c r="Z243" s="75"/>
      <c r="AA243" s="75"/>
    </row>
    <row r="244" spans="1:27" ht="12.75" customHeight="1" x14ac:dyDescent="0.4">
      <c r="A244" s="73" t="s">
        <v>129</v>
      </c>
      <c r="B244" s="86">
        <v>28</v>
      </c>
      <c r="C244" s="86">
        <v>16</v>
      </c>
      <c r="D244" s="86">
        <v>9</v>
      </c>
      <c r="E244" s="86">
        <v>3</v>
      </c>
      <c r="F244" s="86"/>
      <c r="G244" s="75">
        <v>1</v>
      </c>
      <c r="H244" s="75">
        <v>0.5714285714285714</v>
      </c>
      <c r="I244" s="75">
        <v>0.32142857142857145</v>
      </c>
      <c r="J244" s="75">
        <v>0.10714285714285714</v>
      </c>
      <c r="K244" s="75"/>
      <c r="L244" s="75"/>
      <c r="M244" s="6" t="s">
        <v>205</v>
      </c>
      <c r="N244" s="76">
        <v>499</v>
      </c>
      <c r="O244" s="141" t="s">
        <v>206</v>
      </c>
      <c r="R244" s="73"/>
      <c r="S244" s="86"/>
      <c r="T244" s="86"/>
      <c r="U244" s="86"/>
      <c r="V244" s="86"/>
      <c r="W244" s="87"/>
      <c r="X244" s="75"/>
      <c r="Y244" s="75"/>
      <c r="Z244" s="75"/>
      <c r="AA244" s="75"/>
    </row>
    <row r="245" spans="1:27" ht="12.75" customHeight="1" x14ac:dyDescent="0.4">
      <c r="A245" s="73" t="s">
        <v>130</v>
      </c>
      <c r="B245" s="86">
        <v>67</v>
      </c>
      <c r="C245" s="86">
        <v>51</v>
      </c>
      <c r="D245" s="86">
        <v>10</v>
      </c>
      <c r="E245" s="86">
        <v>6</v>
      </c>
      <c r="F245" s="86"/>
      <c r="G245" s="75">
        <v>0.97101449275362317</v>
      </c>
      <c r="H245" s="75">
        <v>0.76119402985074625</v>
      </c>
      <c r="I245" s="75">
        <v>0.14925373134328357</v>
      </c>
      <c r="J245" s="75">
        <v>8.9552238805970144E-2</v>
      </c>
      <c r="K245" s="75"/>
      <c r="L245" s="75"/>
      <c r="M245" s="6" t="s">
        <v>430</v>
      </c>
      <c r="N245" s="139">
        <v>334</v>
      </c>
      <c r="O245" s="140">
        <v>0.66933867735470942</v>
      </c>
      <c r="R245" s="73"/>
      <c r="S245" s="87"/>
      <c r="T245" s="86"/>
      <c r="U245" s="86"/>
      <c r="V245" s="87"/>
      <c r="W245" s="72"/>
      <c r="X245" s="75"/>
      <c r="Y245" s="75"/>
      <c r="Z245" s="75"/>
      <c r="AA245" s="75"/>
    </row>
    <row r="246" spans="1:27" ht="12.75" customHeight="1" x14ac:dyDescent="0.4">
      <c r="A246" s="73" t="s">
        <v>131</v>
      </c>
      <c r="B246" s="86">
        <v>63</v>
      </c>
      <c r="C246" s="86">
        <v>44</v>
      </c>
      <c r="D246" s="86">
        <v>16</v>
      </c>
      <c r="E246" s="86">
        <v>3</v>
      </c>
      <c r="F246" s="86"/>
      <c r="G246" s="75">
        <v>1</v>
      </c>
      <c r="H246" s="75">
        <v>0.69841269841269837</v>
      </c>
      <c r="I246" s="75">
        <v>0.25396825396825395</v>
      </c>
      <c r="J246" s="75">
        <v>4.7619047619047616E-2</v>
      </c>
      <c r="K246" s="75"/>
      <c r="L246" s="75"/>
      <c r="M246" s="6" t="s">
        <v>230</v>
      </c>
      <c r="N246" s="139">
        <v>114</v>
      </c>
      <c r="O246" s="140">
        <v>0.22845691382765532</v>
      </c>
      <c r="S246" s="53"/>
    </row>
    <row r="247" spans="1:27" ht="12.75" customHeight="1" x14ac:dyDescent="0.4">
      <c r="A247" s="73" t="s">
        <v>132</v>
      </c>
      <c r="B247" s="86">
        <v>33</v>
      </c>
      <c r="C247" s="86">
        <v>27</v>
      </c>
      <c r="D247" s="86">
        <v>3</v>
      </c>
      <c r="E247" s="86">
        <v>3</v>
      </c>
      <c r="F247" s="86"/>
      <c r="G247" s="75">
        <v>1</v>
      </c>
      <c r="H247" s="75">
        <v>0.81818181818181823</v>
      </c>
      <c r="I247" s="75">
        <v>9.0909090909090912E-2</v>
      </c>
      <c r="J247" s="75">
        <v>9.0909090909090912E-2</v>
      </c>
      <c r="K247" s="75"/>
      <c r="L247" s="75"/>
      <c r="M247" s="6" t="s">
        <v>431</v>
      </c>
      <c r="N247" s="139">
        <v>152</v>
      </c>
      <c r="O247" s="140">
        <v>0.30460921843687377</v>
      </c>
      <c r="P247" s="72"/>
      <c r="S247" s="53"/>
    </row>
    <row r="248" spans="1:27" s="72" customFormat="1" ht="13.5" customHeight="1" x14ac:dyDescent="0.5">
      <c r="A248" s="73" t="s">
        <v>133</v>
      </c>
      <c r="B248" s="86">
        <v>62</v>
      </c>
      <c r="C248" s="86">
        <v>54</v>
      </c>
      <c r="D248" s="86">
        <v>1</v>
      </c>
      <c r="E248" s="86">
        <v>7</v>
      </c>
      <c r="F248" s="86"/>
      <c r="G248" s="75">
        <v>1</v>
      </c>
      <c r="H248" s="75">
        <v>0.87096774193548387</v>
      </c>
      <c r="I248" s="75">
        <v>1.6129032258064516E-2</v>
      </c>
      <c r="J248" s="75">
        <v>0.11290322580645161</v>
      </c>
      <c r="K248" s="75"/>
      <c r="L248" s="75"/>
      <c r="M248" s="6" t="s">
        <v>231</v>
      </c>
      <c r="N248" s="139">
        <v>43</v>
      </c>
      <c r="O248" s="140">
        <v>8.617234468937876E-2</v>
      </c>
      <c r="R248" s="177"/>
      <c r="X248" s="73"/>
    </row>
    <row r="249" spans="1:27" ht="13.15" x14ac:dyDescent="0.4">
      <c r="A249" s="73" t="s">
        <v>134</v>
      </c>
      <c r="B249" s="86">
        <v>65</v>
      </c>
      <c r="C249" s="86">
        <v>53</v>
      </c>
      <c r="D249" s="86">
        <v>11</v>
      </c>
      <c r="E249" s="86">
        <v>1</v>
      </c>
      <c r="F249" s="87"/>
      <c r="G249" s="75">
        <v>0.97014925373134331</v>
      </c>
      <c r="H249" s="75">
        <v>0.81538461538461537</v>
      </c>
      <c r="I249" s="75">
        <v>0.16923076923076924</v>
      </c>
      <c r="J249" s="75">
        <v>1.5384615384615385E-2</v>
      </c>
      <c r="K249" s="72"/>
      <c r="L249" s="72"/>
      <c r="M249" s="6"/>
      <c r="N249" s="139"/>
      <c r="O249" s="140"/>
      <c r="P249" s="72"/>
      <c r="Q249" s="72"/>
      <c r="R249" s="73"/>
      <c r="S249" s="72"/>
      <c r="T249" s="72"/>
      <c r="U249" s="72"/>
      <c r="V249" s="72"/>
      <c r="W249" s="72"/>
      <c r="X249" s="72"/>
      <c r="Y249" s="72"/>
      <c r="Z249" s="72"/>
      <c r="AA249" s="72"/>
    </row>
    <row r="250" spans="1:27" ht="12.75" customHeight="1" x14ac:dyDescent="0.4">
      <c r="A250" s="73" t="s">
        <v>135</v>
      </c>
      <c r="B250" s="86">
        <v>67</v>
      </c>
      <c r="C250" s="86">
        <v>59</v>
      </c>
      <c r="D250" s="86">
        <v>6</v>
      </c>
      <c r="E250" s="86">
        <v>2</v>
      </c>
      <c r="F250" s="87"/>
      <c r="G250" s="75">
        <v>0.98529411764705888</v>
      </c>
      <c r="H250" s="75">
        <v>0.88059701492537312</v>
      </c>
      <c r="I250" s="75">
        <v>8.9552238805970144E-2</v>
      </c>
      <c r="J250" s="75">
        <v>2.9850746268656716E-2</v>
      </c>
      <c r="K250" s="72"/>
      <c r="L250" s="72"/>
      <c r="M250" s="6" t="s">
        <v>440</v>
      </c>
      <c r="N250" s="138" t="s">
        <v>441</v>
      </c>
      <c r="O250" s="141" t="s">
        <v>206</v>
      </c>
      <c r="P250" s="72"/>
      <c r="Q250" s="72"/>
      <c r="R250" s="73"/>
      <c r="S250" s="72"/>
      <c r="T250" s="72"/>
      <c r="U250" s="72"/>
      <c r="V250" s="72"/>
      <c r="W250" s="72"/>
      <c r="X250" s="72"/>
      <c r="Y250" s="72"/>
      <c r="Z250" s="72"/>
      <c r="AA250" s="72"/>
    </row>
    <row r="251" spans="1:27" ht="12.75" customHeight="1" x14ac:dyDescent="0.4">
      <c r="A251" s="73" t="s">
        <v>382</v>
      </c>
      <c r="B251" s="86">
        <v>25</v>
      </c>
      <c r="C251" s="86">
        <v>18</v>
      </c>
      <c r="D251" s="86">
        <v>5</v>
      </c>
      <c r="E251" s="86">
        <v>2</v>
      </c>
      <c r="F251" s="87"/>
      <c r="G251" s="75">
        <v>0.92592592592592593</v>
      </c>
      <c r="H251" s="75">
        <v>0.72</v>
      </c>
      <c r="I251" s="75">
        <v>0.2</v>
      </c>
      <c r="J251" s="75">
        <v>0.08</v>
      </c>
      <c r="K251" s="72"/>
      <c r="L251" s="72"/>
      <c r="M251" s="6" t="s">
        <v>439</v>
      </c>
      <c r="N251" s="241">
        <v>73</v>
      </c>
      <c r="O251" s="140">
        <v>0.14629258517034069</v>
      </c>
      <c r="Q251" s="72"/>
      <c r="R251" s="73"/>
      <c r="S251" s="72"/>
      <c r="T251" s="72"/>
      <c r="U251" s="72"/>
      <c r="V251" s="72"/>
      <c r="W251" s="72"/>
      <c r="X251" s="72"/>
      <c r="Y251" s="72"/>
      <c r="Z251" s="72"/>
      <c r="AA251" s="72"/>
    </row>
    <row r="252" spans="1:27" ht="12.75" customHeight="1" x14ac:dyDescent="0.4">
      <c r="A252" s="73" t="s">
        <v>136</v>
      </c>
      <c r="B252" s="86">
        <v>28</v>
      </c>
      <c r="C252" s="86">
        <v>19</v>
      </c>
      <c r="D252" s="86">
        <v>7</v>
      </c>
      <c r="E252" s="86">
        <v>2</v>
      </c>
      <c r="F252" s="87"/>
      <c r="G252" s="75">
        <v>1</v>
      </c>
      <c r="H252" s="75">
        <v>0.6785714285714286</v>
      </c>
      <c r="I252" s="75">
        <v>0.25</v>
      </c>
      <c r="J252" s="75">
        <v>7.1428571428571425E-2</v>
      </c>
      <c r="K252" s="72"/>
      <c r="L252" s="74"/>
      <c r="M252" s="6"/>
      <c r="N252" s="139"/>
      <c r="O252" s="140"/>
      <c r="R252" s="73"/>
      <c r="S252" s="72"/>
      <c r="T252" s="72"/>
      <c r="U252" s="72"/>
      <c r="V252" s="72"/>
      <c r="W252" s="86"/>
      <c r="X252" s="72"/>
      <c r="Y252" s="72"/>
      <c r="Z252" s="72"/>
      <c r="AA252" s="72"/>
    </row>
    <row r="253" spans="1:27" ht="12.75" customHeight="1" x14ac:dyDescent="0.4">
      <c r="A253" s="73" t="s">
        <v>308</v>
      </c>
      <c r="B253" s="86">
        <v>32</v>
      </c>
      <c r="C253" s="86">
        <v>17</v>
      </c>
      <c r="D253" s="86">
        <v>12</v>
      </c>
      <c r="E253" s="86">
        <v>3</v>
      </c>
      <c r="F253" s="87"/>
      <c r="G253" s="75">
        <v>1</v>
      </c>
      <c r="H253" s="75">
        <v>0.53125</v>
      </c>
      <c r="I253" s="75">
        <v>0.375</v>
      </c>
      <c r="J253" s="75">
        <v>9.375E-2</v>
      </c>
      <c r="K253" s="74"/>
      <c r="L253" s="75"/>
      <c r="M253" s="6"/>
      <c r="N253" s="139"/>
      <c r="O253" s="140"/>
      <c r="R253" s="73"/>
      <c r="S253" s="74"/>
      <c r="T253" s="74"/>
      <c r="U253" s="74"/>
      <c r="V253" s="74"/>
      <c r="W253" s="86"/>
      <c r="X253" s="74"/>
      <c r="Y253" s="74"/>
      <c r="Z253" s="74"/>
      <c r="AA253" s="74"/>
    </row>
    <row r="254" spans="1:27" ht="12.75" customHeight="1" x14ac:dyDescent="0.4">
      <c r="A254" s="73" t="s">
        <v>24</v>
      </c>
      <c r="B254" s="87">
        <v>498</v>
      </c>
      <c r="C254" s="86">
        <v>374</v>
      </c>
      <c r="D254" s="86">
        <v>91</v>
      </c>
      <c r="E254" s="87">
        <v>33</v>
      </c>
      <c r="F254" s="72"/>
      <c r="G254" s="75">
        <v>0.98613861386138613</v>
      </c>
      <c r="H254" s="75">
        <v>0.75100401606425704</v>
      </c>
      <c r="I254" s="75">
        <v>0.18273092369477911</v>
      </c>
      <c r="J254" s="75">
        <v>6.6265060240963861E-2</v>
      </c>
      <c r="K254" s="75"/>
      <c r="L254" s="75"/>
      <c r="M254" s="6"/>
      <c r="N254" s="75"/>
      <c r="O254" s="75"/>
      <c r="R254" s="73"/>
      <c r="S254" s="86"/>
      <c r="T254" s="86"/>
      <c r="U254" s="86"/>
      <c r="V254" s="86"/>
      <c r="W254" s="86"/>
      <c r="X254" s="75"/>
      <c r="Y254" s="75"/>
      <c r="Z254" s="75"/>
      <c r="AA254" s="75"/>
    </row>
    <row r="255" spans="1:27" ht="12.75" customHeight="1" x14ac:dyDescent="0.4">
      <c r="A255" s="73"/>
      <c r="B255" s="87"/>
      <c r="C255" s="86"/>
      <c r="D255" s="86"/>
      <c r="E255" s="87"/>
      <c r="F255" s="72"/>
      <c r="G255" s="75"/>
      <c r="H255" s="75"/>
      <c r="I255" s="75"/>
      <c r="J255" s="75"/>
      <c r="K255" s="75"/>
      <c r="L255" s="75"/>
      <c r="M255" s="6"/>
      <c r="N255" s="75"/>
      <c r="O255" s="75"/>
      <c r="R255" s="73"/>
      <c r="S255" s="86"/>
      <c r="T255" s="86"/>
      <c r="U255" s="86"/>
      <c r="V255" s="86"/>
      <c r="W255" s="86"/>
      <c r="X255" s="75"/>
      <c r="Y255" s="75"/>
      <c r="Z255" s="75"/>
      <c r="AA255" s="75"/>
    </row>
    <row r="256" spans="1:27" ht="12.75" customHeight="1" x14ac:dyDescent="0.4">
      <c r="A256" s="73"/>
      <c r="B256" s="87"/>
      <c r="C256" s="86"/>
      <c r="D256" s="86"/>
      <c r="E256" s="87"/>
      <c r="F256" s="72"/>
      <c r="G256" s="75"/>
      <c r="H256" s="75"/>
      <c r="I256" s="75"/>
      <c r="J256" s="75"/>
      <c r="K256" s="75"/>
      <c r="L256" s="75"/>
      <c r="M256" s="73"/>
      <c r="N256" s="168"/>
      <c r="O256" s="75"/>
      <c r="P256" s="72"/>
      <c r="R256" s="73"/>
      <c r="S256" s="86"/>
      <c r="T256" s="86"/>
      <c r="U256" s="86"/>
      <c r="V256" s="86"/>
      <c r="W256" s="86"/>
      <c r="X256" s="75"/>
      <c r="Y256" s="75"/>
      <c r="Z256" s="75"/>
      <c r="AA256" s="75"/>
    </row>
    <row r="257" spans="1:27" ht="12.75" customHeight="1" x14ac:dyDescent="0.4">
      <c r="A257" s="73" t="s">
        <v>401</v>
      </c>
      <c r="B257" s="72"/>
      <c r="C257" s="72"/>
      <c r="D257" s="72"/>
      <c r="E257" s="72"/>
      <c r="F257" s="72"/>
      <c r="G257" s="72"/>
      <c r="H257" s="72"/>
      <c r="I257" s="72"/>
      <c r="J257" s="72"/>
      <c r="K257" s="75"/>
      <c r="L257" s="75"/>
      <c r="M257" s="6"/>
      <c r="N257" s="6"/>
      <c r="O257" s="113"/>
      <c r="R257" s="73"/>
      <c r="S257" s="86"/>
      <c r="T257" s="86"/>
      <c r="U257" s="86"/>
      <c r="V257" s="86"/>
      <c r="W257" s="86"/>
      <c r="X257" s="75"/>
      <c r="Y257" s="75"/>
      <c r="Z257" s="75"/>
      <c r="AA257" s="75"/>
    </row>
    <row r="258" spans="1:27" ht="12.75" customHeight="1" x14ac:dyDescent="0.4">
      <c r="A258" s="73" t="s">
        <v>402</v>
      </c>
      <c r="B258" s="72"/>
      <c r="C258" s="72"/>
      <c r="D258" s="72"/>
      <c r="E258" s="72"/>
      <c r="F258" s="72"/>
      <c r="G258" s="72"/>
      <c r="H258" s="72"/>
      <c r="I258" s="72"/>
      <c r="J258" s="72"/>
      <c r="K258" s="75"/>
      <c r="L258" s="75"/>
      <c r="M258" s="6"/>
      <c r="N258" s="6"/>
      <c r="O258" s="113"/>
      <c r="R258" s="73"/>
      <c r="S258" s="86"/>
      <c r="T258" s="86"/>
      <c r="U258" s="86"/>
      <c r="V258" s="86"/>
      <c r="W258" s="86"/>
      <c r="X258" s="75"/>
      <c r="Y258" s="75"/>
      <c r="Z258" s="75"/>
      <c r="AA258" s="75"/>
    </row>
    <row r="259" spans="1:27" s="53" customFormat="1" ht="12.75" customHeight="1" x14ac:dyDescent="0.4">
      <c r="A259" s="73" t="s">
        <v>429</v>
      </c>
      <c r="B259" s="72"/>
      <c r="C259" s="72"/>
      <c r="D259" s="72"/>
      <c r="E259" s="72"/>
      <c r="F259" s="72"/>
      <c r="G259" s="72"/>
      <c r="H259" s="72"/>
      <c r="I259" s="72"/>
      <c r="J259" s="72"/>
      <c r="K259" s="75"/>
      <c r="L259" s="75"/>
      <c r="M259" s="142"/>
      <c r="N259" s="142"/>
      <c r="O259" s="142"/>
      <c r="P259"/>
      <c r="Q259"/>
      <c r="R259" s="73"/>
      <c r="S259" s="86"/>
      <c r="T259" s="86"/>
      <c r="U259" s="86"/>
      <c r="V259" s="86"/>
      <c r="W259" s="86"/>
      <c r="X259" s="75"/>
      <c r="Y259" s="75"/>
      <c r="Z259" s="75"/>
      <c r="AA259" s="75"/>
    </row>
    <row r="260" spans="1:27" s="53" customFormat="1" ht="12.75" customHeight="1" x14ac:dyDescent="0.4">
      <c r="A260" s="73"/>
      <c r="B260" s="72" t="s">
        <v>141</v>
      </c>
      <c r="C260" s="72"/>
      <c r="D260" s="72"/>
      <c r="E260" s="72"/>
      <c r="F260" s="86"/>
      <c r="G260" s="72" t="s">
        <v>148</v>
      </c>
      <c r="H260" s="72"/>
      <c r="I260" s="72"/>
      <c r="J260" s="72"/>
      <c r="K260" s="75"/>
      <c r="L260" s="75"/>
      <c r="M260" s="142" t="s">
        <v>401</v>
      </c>
      <c r="N260" s="142"/>
      <c r="O260" s="142"/>
      <c r="P260"/>
      <c r="Q260"/>
      <c r="R260" s="73"/>
      <c r="S260" s="86"/>
      <c r="T260" s="86"/>
      <c r="U260" s="86"/>
      <c r="V260" s="86"/>
      <c r="W260" s="87"/>
      <c r="X260" s="75"/>
      <c r="Y260" s="75"/>
      <c r="Z260" s="75"/>
      <c r="AA260" s="75"/>
    </row>
    <row r="261" spans="1:27" s="53" customFormat="1" ht="12.75" customHeight="1" x14ac:dyDescent="0.4">
      <c r="A261" s="73" t="s">
        <v>137</v>
      </c>
      <c r="B261" s="74" t="s">
        <v>113</v>
      </c>
      <c r="C261" s="74" t="s">
        <v>114</v>
      </c>
      <c r="D261" s="74" t="s">
        <v>115</v>
      </c>
      <c r="E261" s="74" t="s">
        <v>116</v>
      </c>
      <c r="F261" s="86"/>
      <c r="G261" s="74" t="s">
        <v>113</v>
      </c>
      <c r="H261" s="74" t="s">
        <v>114</v>
      </c>
      <c r="I261" s="74" t="s">
        <v>115</v>
      </c>
      <c r="J261" s="74" t="s">
        <v>116</v>
      </c>
      <c r="K261" s="75"/>
      <c r="L261" s="75"/>
      <c r="M261" s="142" t="s">
        <v>423</v>
      </c>
      <c r="N261" s="169"/>
      <c r="O261" s="170"/>
      <c r="P261"/>
      <c r="Q261"/>
      <c r="R261" s="73"/>
      <c r="S261" s="86"/>
      <c r="T261" s="86"/>
      <c r="U261" s="86"/>
      <c r="V261" s="86"/>
      <c r="W261" s="87"/>
      <c r="X261" s="75"/>
      <c r="Y261" s="75"/>
      <c r="Z261" s="75"/>
      <c r="AA261" s="75"/>
    </row>
    <row r="262" spans="1:27" s="53" customFormat="1" ht="12.75" customHeight="1" x14ac:dyDescent="0.4">
      <c r="A262" s="73" t="s">
        <v>128</v>
      </c>
      <c r="B262" s="86">
        <v>28</v>
      </c>
      <c r="C262" s="86">
        <v>18</v>
      </c>
      <c r="D262" s="86">
        <v>8</v>
      </c>
      <c r="E262" s="86">
        <v>2</v>
      </c>
      <c r="F262" s="86"/>
      <c r="G262" s="75">
        <f>B262/29</f>
        <v>0.96551724137931039</v>
      </c>
      <c r="H262" s="75">
        <f>C262/B262</f>
        <v>0.6428571428571429</v>
      </c>
      <c r="I262" s="75">
        <f>D262/B262</f>
        <v>0.2857142857142857</v>
      </c>
      <c r="J262" s="75">
        <f>E262/B262</f>
        <v>7.1428571428571425E-2</v>
      </c>
      <c r="K262" s="75"/>
      <c r="L262" s="75"/>
      <c r="M262" s="142" t="s">
        <v>254</v>
      </c>
      <c r="N262" s="142"/>
      <c r="O262" s="142"/>
      <c r="P262"/>
      <c r="Q262"/>
      <c r="R262" s="73"/>
      <c r="S262" s="86"/>
      <c r="T262" s="86"/>
      <c r="U262" s="86"/>
      <c r="V262" s="86"/>
      <c r="W262" s="87"/>
      <c r="X262" s="75"/>
      <c r="Y262" s="75"/>
      <c r="Z262" s="75"/>
      <c r="AA262" s="75"/>
    </row>
    <row r="263" spans="1:27" ht="12.75" customHeight="1" x14ac:dyDescent="0.4">
      <c r="A263" s="73" t="s">
        <v>129</v>
      </c>
      <c r="B263" s="86">
        <v>28</v>
      </c>
      <c r="C263" s="86">
        <v>21</v>
      </c>
      <c r="D263" s="86">
        <v>4</v>
      </c>
      <c r="E263" s="86">
        <v>3</v>
      </c>
      <c r="F263" s="86"/>
      <c r="G263" s="75">
        <f>B263/28</f>
        <v>1</v>
      </c>
      <c r="H263" s="75">
        <f t="shared" ref="H263:H272" si="6">C263/B263</f>
        <v>0.75</v>
      </c>
      <c r="I263" s="75">
        <f t="shared" ref="I263:I273" si="7">D263/B263</f>
        <v>0.14285714285714285</v>
      </c>
      <c r="J263" s="75">
        <f t="shared" ref="J263:J273" si="8">E263/B263</f>
        <v>0.10714285714285714</v>
      </c>
      <c r="K263" s="75"/>
      <c r="L263" s="75"/>
      <c r="M263" s="142" t="s">
        <v>205</v>
      </c>
      <c r="N263" s="157">
        <v>501</v>
      </c>
      <c r="O263" s="171" t="s">
        <v>206</v>
      </c>
      <c r="R263" s="73"/>
      <c r="S263" s="86"/>
      <c r="T263" s="86"/>
      <c r="U263" s="86"/>
      <c r="V263" s="86"/>
      <c r="W263" s="87"/>
      <c r="X263" s="75"/>
      <c r="Y263" s="75"/>
      <c r="Z263" s="75"/>
      <c r="AA263" s="75"/>
    </row>
    <row r="264" spans="1:27" ht="12.75" customHeight="1" x14ac:dyDescent="0.4">
      <c r="A264" s="73" t="s">
        <v>130</v>
      </c>
      <c r="B264" s="86">
        <v>66</v>
      </c>
      <c r="C264" s="86">
        <v>47</v>
      </c>
      <c r="D264" s="86">
        <v>12</v>
      </c>
      <c r="E264" s="86">
        <v>7</v>
      </c>
      <c r="F264" s="86"/>
      <c r="G264" s="75">
        <f>B264/69</f>
        <v>0.95652173913043481</v>
      </c>
      <c r="H264" s="75">
        <f t="shared" si="6"/>
        <v>0.71212121212121215</v>
      </c>
      <c r="I264" s="75">
        <f t="shared" si="7"/>
        <v>0.18181818181818182</v>
      </c>
      <c r="J264" s="75">
        <f t="shared" si="8"/>
        <v>0.10606060606060606</v>
      </c>
      <c r="K264" s="75"/>
      <c r="L264" s="75"/>
      <c r="M264" s="142" t="s">
        <v>424</v>
      </c>
      <c r="N264" s="169">
        <v>332</v>
      </c>
      <c r="O264" s="170">
        <f>N264/N263</f>
        <v>0.66267465069860276</v>
      </c>
      <c r="R264" s="73"/>
      <c r="S264" s="86"/>
      <c r="T264" s="86"/>
      <c r="U264" s="86"/>
      <c r="V264" s="86"/>
      <c r="W264" s="87"/>
      <c r="X264" s="75"/>
      <c r="Y264" s="75"/>
      <c r="Z264" s="75"/>
      <c r="AA264" s="75"/>
    </row>
    <row r="265" spans="1:27" ht="12.75" customHeight="1" x14ac:dyDescent="0.4">
      <c r="A265" s="73" t="s">
        <v>131</v>
      </c>
      <c r="B265" s="86">
        <v>63</v>
      </c>
      <c r="C265" s="86">
        <v>46</v>
      </c>
      <c r="D265" s="86">
        <v>12</v>
      </c>
      <c r="E265" s="86">
        <v>5</v>
      </c>
      <c r="F265" s="86"/>
      <c r="G265" s="75">
        <f>B265/63</f>
        <v>1</v>
      </c>
      <c r="H265" s="75">
        <f t="shared" si="6"/>
        <v>0.73015873015873012</v>
      </c>
      <c r="I265" s="75">
        <f t="shared" si="7"/>
        <v>0.19047619047619047</v>
      </c>
      <c r="J265" s="75">
        <f t="shared" si="8"/>
        <v>7.9365079365079361E-2</v>
      </c>
      <c r="K265" s="75"/>
      <c r="L265" s="75"/>
      <c r="M265" s="142" t="s">
        <v>230</v>
      </c>
      <c r="N265" s="169">
        <v>121</v>
      </c>
      <c r="O265" s="170">
        <f>N265/N263</f>
        <v>0.24151696606786427</v>
      </c>
      <c r="R265" s="73"/>
      <c r="S265" s="87"/>
      <c r="T265" s="86"/>
      <c r="U265" s="86"/>
      <c r="V265" s="87"/>
      <c r="W265" s="72"/>
      <c r="X265" s="75"/>
      <c r="Y265" s="75"/>
      <c r="Z265" s="75"/>
      <c r="AA265" s="75"/>
    </row>
    <row r="266" spans="1:27" ht="12.75" customHeight="1" x14ac:dyDescent="0.4">
      <c r="A266" s="73" t="s">
        <v>132</v>
      </c>
      <c r="B266" s="86">
        <v>33</v>
      </c>
      <c r="C266" s="86">
        <v>23</v>
      </c>
      <c r="D266" s="86">
        <v>5</v>
      </c>
      <c r="E266" s="86">
        <v>5</v>
      </c>
      <c r="F266" s="86"/>
      <c r="G266" s="75">
        <f>B266/33</f>
        <v>1</v>
      </c>
      <c r="H266" s="75">
        <f t="shared" si="6"/>
        <v>0.69696969696969702</v>
      </c>
      <c r="I266" s="75">
        <f t="shared" si="7"/>
        <v>0.15151515151515152</v>
      </c>
      <c r="J266" s="75">
        <f t="shared" si="8"/>
        <v>0.15151515151515152</v>
      </c>
      <c r="K266" s="72"/>
      <c r="L266" s="72"/>
      <c r="M266" s="142" t="s">
        <v>425</v>
      </c>
      <c r="N266" s="169">
        <v>151</v>
      </c>
      <c r="O266" s="170">
        <f>N266/N263</f>
        <v>0.30139720558882238</v>
      </c>
      <c r="S266" s="53"/>
    </row>
    <row r="267" spans="1:27" ht="12.75" customHeight="1" x14ac:dyDescent="0.4">
      <c r="A267" s="73" t="s">
        <v>133</v>
      </c>
      <c r="B267" s="86">
        <v>62</v>
      </c>
      <c r="C267" s="86">
        <v>59</v>
      </c>
      <c r="D267" s="86">
        <v>2</v>
      </c>
      <c r="E267" s="86">
        <v>1</v>
      </c>
      <c r="F267" s="86"/>
      <c r="G267" s="75">
        <f>B267/62</f>
        <v>1</v>
      </c>
      <c r="H267" s="75">
        <f t="shared" si="6"/>
        <v>0.95161290322580649</v>
      </c>
      <c r="I267" s="75">
        <f t="shared" si="7"/>
        <v>3.2258064516129031E-2</v>
      </c>
      <c r="J267" s="75">
        <f t="shared" si="8"/>
        <v>1.6129032258064516E-2</v>
      </c>
      <c r="K267" s="72"/>
      <c r="L267" s="72"/>
      <c r="M267" s="142" t="s">
        <v>231</v>
      </c>
      <c r="N267" s="169">
        <v>40</v>
      </c>
      <c r="O267" s="170">
        <f>N267/N263</f>
        <v>7.9840319361277445E-2</v>
      </c>
      <c r="P267" s="72"/>
      <c r="S267" s="53"/>
    </row>
    <row r="268" spans="1:27" ht="13.15" x14ac:dyDescent="0.4">
      <c r="A268" s="73" t="s">
        <v>134</v>
      </c>
      <c r="B268" s="86">
        <v>66</v>
      </c>
      <c r="C268" s="86">
        <v>49</v>
      </c>
      <c r="D268" s="86">
        <v>12</v>
      </c>
      <c r="E268" s="86">
        <v>5</v>
      </c>
      <c r="F268" s="87"/>
      <c r="G268" s="75">
        <f>B268/67</f>
        <v>0.9850746268656716</v>
      </c>
      <c r="H268" s="75">
        <f t="shared" si="6"/>
        <v>0.74242424242424243</v>
      </c>
      <c r="I268" s="75">
        <f t="shared" si="7"/>
        <v>0.18181818181818182</v>
      </c>
      <c r="J268" s="75">
        <f t="shared" si="8"/>
        <v>7.575757575757576E-2</v>
      </c>
      <c r="K268" s="72"/>
      <c r="L268" s="72"/>
      <c r="M268" s="142"/>
      <c r="N268" s="169"/>
      <c r="O268" s="170"/>
      <c r="P268" s="72"/>
      <c r="Q268" s="72"/>
      <c r="R268" s="73"/>
      <c r="S268" s="72"/>
      <c r="T268" s="72"/>
      <c r="U268" s="72"/>
      <c r="V268" s="72"/>
      <c r="W268" s="72"/>
      <c r="X268" s="72"/>
      <c r="Y268" s="72"/>
      <c r="Z268" s="72"/>
      <c r="AA268" s="72"/>
    </row>
    <row r="269" spans="1:27" ht="12.75" customHeight="1" x14ac:dyDescent="0.4">
      <c r="A269" s="73" t="s">
        <v>135</v>
      </c>
      <c r="B269" s="86">
        <v>66</v>
      </c>
      <c r="C269" s="86">
        <v>54</v>
      </c>
      <c r="D269" s="86">
        <v>7</v>
      </c>
      <c r="E269" s="86">
        <v>5</v>
      </c>
      <c r="F269" s="87"/>
      <c r="G269" s="75">
        <f>B269/68</f>
        <v>0.97058823529411764</v>
      </c>
      <c r="H269" s="75">
        <f t="shared" si="6"/>
        <v>0.81818181818181823</v>
      </c>
      <c r="I269" s="75">
        <f t="shared" si="7"/>
        <v>0.10606060606060606</v>
      </c>
      <c r="J269" s="75">
        <f t="shared" si="8"/>
        <v>7.575757575757576E-2</v>
      </c>
      <c r="K269" s="72"/>
      <c r="L269" s="72"/>
      <c r="M269" s="142"/>
      <c r="N269" s="169"/>
      <c r="O269" s="170"/>
      <c r="P269" s="72"/>
      <c r="Q269" s="72"/>
      <c r="R269" s="73"/>
      <c r="S269" s="72"/>
      <c r="T269" s="72"/>
      <c r="U269" s="72"/>
      <c r="V269" s="72"/>
      <c r="W269" s="72"/>
      <c r="X269" s="72"/>
      <c r="Y269" s="72"/>
      <c r="Z269" s="72"/>
      <c r="AA269" s="72"/>
    </row>
    <row r="270" spans="1:27" ht="12.75" customHeight="1" x14ac:dyDescent="0.4">
      <c r="A270" s="73" t="s">
        <v>382</v>
      </c>
      <c r="B270" s="86">
        <v>25</v>
      </c>
      <c r="C270" s="86">
        <v>18</v>
      </c>
      <c r="D270" s="86">
        <v>4</v>
      </c>
      <c r="E270" s="86">
        <v>3</v>
      </c>
      <c r="F270" s="87"/>
      <c r="G270" s="75">
        <f>B270/26</f>
        <v>0.96153846153846156</v>
      </c>
      <c r="H270" s="75">
        <f t="shared" si="6"/>
        <v>0.72</v>
      </c>
      <c r="I270" s="75">
        <f t="shared" si="7"/>
        <v>0.16</v>
      </c>
      <c r="J270" s="75">
        <f t="shared" si="8"/>
        <v>0.12</v>
      </c>
      <c r="K270" s="72"/>
      <c r="L270" s="72"/>
      <c r="M270" s="142"/>
      <c r="N270" s="75"/>
      <c r="O270" s="75"/>
      <c r="Q270" s="72"/>
      <c r="R270" s="73"/>
      <c r="S270" s="72"/>
      <c r="T270" s="72"/>
      <c r="U270" s="72"/>
      <c r="V270" s="72"/>
      <c r="W270" s="72"/>
      <c r="X270" s="72"/>
      <c r="Y270" s="72"/>
      <c r="Z270" s="72"/>
      <c r="AA270" s="72"/>
    </row>
    <row r="271" spans="1:27" ht="12.75" customHeight="1" x14ac:dyDescent="0.4">
      <c r="A271" s="73" t="s">
        <v>136</v>
      </c>
      <c r="B271" s="86">
        <v>28</v>
      </c>
      <c r="C271" s="86">
        <v>11</v>
      </c>
      <c r="D271" s="86">
        <v>13</v>
      </c>
      <c r="E271" s="86">
        <v>4</v>
      </c>
      <c r="F271" s="87"/>
      <c r="G271" s="75">
        <f>B271/28</f>
        <v>1</v>
      </c>
      <c r="H271" s="75">
        <f t="shared" si="6"/>
        <v>0.39285714285714285</v>
      </c>
      <c r="I271" s="75">
        <f t="shared" si="7"/>
        <v>0.4642857142857143</v>
      </c>
      <c r="J271" s="75">
        <f t="shared" si="8"/>
        <v>0.14285714285714285</v>
      </c>
      <c r="K271" s="72"/>
      <c r="L271" s="72"/>
      <c r="M271" s="142"/>
      <c r="N271" s="75"/>
      <c r="O271" s="75"/>
      <c r="R271" s="73"/>
      <c r="S271" s="72"/>
      <c r="T271" s="72"/>
      <c r="U271" s="72"/>
      <c r="V271" s="72"/>
      <c r="W271" s="86"/>
      <c r="X271" s="72"/>
      <c r="Y271" s="72"/>
      <c r="Z271" s="72"/>
      <c r="AA271" s="72"/>
    </row>
    <row r="272" spans="1:27" ht="12.75" customHeight="1" x14ac:dyDescent="0.4">
      <c r="A272" s="73" t="s">
        <v>308</v>
      </c>
      <c r="B272" s="86">
        <v>32</v>
      </c>
      <c r="C272" s="86">
        <v>20</v>
      </c>
      <c r="D272" s="86">
        <v>9</v>
      </c>
      <c r="E272" s="86">
        <v>3</v>
      </c>
      <c r="F272" s="87"/>
      <c r="G272" s="75">
        <f>B272/32</f>
        <v>1</v>
      </c>
      <c r="H272" s="75">
        <f t="shared" si="6"/>
        <v>0.625</v>
      </c>
      <c r="I272" s="75">
        <f t="shared" si="7"/>
        <v>0.28125</v>
      </c>
      <c r="J272" s="75">
        <f t="shared" si="8"/>
        <v>9.375E-2</v>
      </c>
      <c r="K272" s="72"/>
      <c r="L272" s="74"/>
      <c r="M272" s="73"/>
      <c r="N272" s="168"/>
      <c r="O272" s="75"/>
      <c r="R272" s="73"/>
      <c r="S272" s="74"/>
      <c r="T272" s="74"/>
      <c r="U272" s="74"/>
      <c r="V272" s="74"/>
      <c r="W272" s="86"/>
      <c r="X272" s="74"/>
      <c r="Y272" s="74"/>
      <c r="Z272" s="74"/>
      <c r="AA272" s="74"/>
    </row>
    <row r="273" spans="1:27" ht="12.75" customHeight="1" x14ac:dyDescent="0.4">
      <c r="A273" s="73" t="s">
        <v>24</v>
      </c>
      <c r="B273" s="87">
        <v>497</v>
      </c>
      <c r="C273" s="86">
        <v>366</v>
      </c>
      <c r="D273" s="86">
        <v>88</v>
      </c>
      <c r="E273" s="87">
        <v>43</v>
      </c>
      <c r="F273" s="72"/>
      <c r="G273" s="75">
        <f>B273/505</f>
        <v>0.98415841584158414</v>
      </c>
      <c r="H273" s="75">
        <f>C273/B273</f>
        <v>0.73641851106639844</v>
      </c>
      <c r="I273" s="75">
        <f t="shared" si="7"/>
        <v>0.17706237424547283</v>
      </c>
      <c r="J273" s="75">
        <f t="shared" si="8"/>
        <v>8.651911468812877E-2</v>
      </c>
      <c r="K273" s="74"/>
      <c r="L273" s="75"/>
      <c r="M273" s="73"/>
      <c r="N273" s="168"/>
      <c r="O273" s="75"/>
      <c r="R273" s="73"/>
      <c r="S273" s="86"/>
      <c r="T273" s="86"/>
      <c r="U273" s="86"/>
      <c r="V273" s="86"/>
      <c r="W273" s="86"/>
      <c r="X273" s="75"/>
      <c r="Y273" s="75"/>
      <c r="Z273" s="75"/>
      <c r="AA273" s="75"/>
    </row>
    <row r="274" spans="1:27" ht="12.75" customHeight="1" x14ac:dyDescent="0.4">
      <c r="A274" s="73"/>
      <c r="B274" s="87"/>
      <c r="C274" s="87"/>
      <c r="D274" s="87"/>
      <c r="E274" s="87"/>
      <c r="F274" s="72"/>
      <c r="G274" s="75"/>
      <c r="H274" s="75"/>
      <c r="I274" s="75"/>
      <c r="J274" s="75"/>
      <c r="K274" s="75"/>
      <c r="L274" s="75"/>
      <c r="M274" s="6"/>
      <c r="N274" s="6"/>
      <c r="O274" s="113"/>
      <c r="R274" s="73"/>
      <c r="S274" s="86"/>
      <c r="T274" s="86"/>
      <c r="U274" s="86"/>
      <c r="V274" s="86"/>
      <c r="W274" s="86"/>
      <c r="X274" s="75"/>
      <c r="Y274" s="75"/>
      <c r="Z274" s="75"/>
      <c r="AA274" s="75"/>
    </row>
    <row r="275" spans="1:27" ht="12.75" customHeight="1" x14ac:dyDescent="0.4">
      <c r="A275" s="73"/>
      <c r="B275" s="87"/>
      <c r="C275" s="87"/>
      <c r="D275" s="87"/>
      <c r="E275" s="87"/>
      <c r="F275" s="72"/>
      <c r="G275" s="75"/>
      <c r="H275" s="75"/>
      <c r="I275" s="75"/>
      <c r="J275" s="75"/>
      <c r="K275" s="75"/>
      <c r="L275" s="75"/>
      <c r="M275" s="6"/>
      <c r="N275" s="6"/>
      <c r="O275" s="113"/>
      <c r="P275" s="72"/>
      <c r="R275" s="73"/>
      <c r="S275" s="86"/>
      <c r="T275" s="86"/>
      <c r="U275" s="86"/>
      <c r="V275" s="86"/>
      <c r="W275" s="86"/>
      <c r="X275" s="75"/>
      <c r="Y275" s="75"/>
      <c r="Z275" s="75"/>
      <c r="AA275" s="75"/>
    </row>
    <row r="276" spans="1:27" ht="12.75" customHeight="1" x14ac:dyDescent="0.4">
      <c r="A276" s="73"/>
      <c r="B276" s="87"/>
      <c r="C276" s="87"/>
      <c r="D276" s="87"/>
      <c r="E276" s="87"/>
      <c r="F276" s="72"/>
      <c r="G276" s="75"/>
      <c r="H276" s="75"/>
      <c r="I276" s="75"/>
      <c r="J276" s="75"/>
      <c r="K276" s="75"/>
      <c r="L276" s="75"/>
      <c r="M276" s="6"/>
      <c r="N276" s="6"/>
      <c r="O276" s="113"/>
      <c r="R276" s="73"/>
      <c r="S276" s="86"/>
      <c r="T276" s="86"/>
      <c r="U276" s="86"/>
      <c r="V276" s="86"/>
      <c r="W276" s="86"/>
      <c r="X276" s="75"/>
      <c r="Y276" s="75"/>
      <c r="Z276" s="75"/>
      <c r="AA276" s="75"/>
    </row>
    <row r="277" spans="1:27" ht="12.75" customHeight="1" x14ac:dyDescent="0.4">
      <c r="A277" s="73" t="s">
        <v>400</v>
      </c>
      <c r="B277" s="72"/>
      <c r="C277" s="72"/>
      <c r="D277" s="72"/>
      <c r="E277" s="72"/>
      <c r="F277" s="72"/>
      <c r="G277" s="72"/>
      <c r="H277" s="72"/>
      <c r="I277" s="72"/>
      <c r="J277" s="72"/>
      <c r="K277" s="75"/>
      <c r="L277" s="75"/>
      <c r="M277" s="142"/>
      <c r="N277" s="142"/>
      <c r="O277" s="142"/>
      <c r="R277" s="73"/>
      <c r="S277" s="86"/>
      <c r="T277" s="86"/>
      <c r="U277" s="86"/>
      <c r="V277" s="86"/>
      <c r="W277" s="86"/>
      <c r="X277" s="75"/>
      <c r="Y277" s="75"/>
      <c r="Z277" s="75"/>
      <c r="AA277" s="75"/>
    </row>
    <row r="278" spans="1:27" s="82" customFormat="1" ht="12.75" customHeight="1" x14ac:dyDescent="0.4">
      <c r="A278" s="73" t="s">
        <v>418</v>
      </c>
      <c r="B278" s="72"/>
      <c r="C278" s="72"/>
      <c r="D278" s="72"/>
      <c r="E278" s="72"/>
      <c r="F278" s="72"/>
      <c r="G278" s="72"/>
      <c r="H278" s="72"/>
      <c r="I278" s="72"/>
      <c r="J278" s="72"/>
      <c r="K278" s="75"/>
      <c r="L278" s="75"/>
      <c r="M278" s="142"/>
      <c r="N278" s="142"/>
      <c r="O278" s="142"/>
      <c r="P278"/>
      <c r="Q278"/>
      <c r="R278" s="73"/>
      <c r="S278" s="86"/>
      <c r="T278" s="86"/>
      <c r="U278" s="86"/>
      <c r="V278" s="86"/>
      <c r="W278" s="86"/>
      <c r="X278" s="75"/>
      <c r="Y278" s="75"/>
      <c r="Z278" s="75"/>
      <c r="AA278" s="75"/>
    </row>
    <row r="279" spans="1:27" s="82" customFormat="1" ht="12.75" customHeight="1" x14ac:dyDescent="0.4">
      <c r="A279" s="73" t="s">
        <v>433</v>
      </c>
      <c r="B279" s="72"/>
      <c r="C279" s="72"/>
      <c r="D279" s="72"/>
      <c r="E279" s="72"/>
      <c r="F279" s="72"/>
      <c r="G279" s="72"/>
      <c r="H279" s="72"/>
      <c r="I279" s="72"/>
      <c r="J279" s="72"/>
      <c r="K279" s="75"/>
      <c r="L279" s="75"/>
      <c r="M279" s="142"/>
      <c r="N279" s="142"/>
      <c r="O279" s="142"/>
      <c r="P279"/>
      <c r="Q279"/>
      <c r="R279" s="73"/>
      <c r="S279" s="86"/>
      <c r="T279" s="86"/>
      <c r="U279" s="86"/>
      <c r="V279" s="86"/>
      <c r="W279" s="87"/>
      <c r="X279" s="75"/>
      <c r="Y279" s="75"/>
      <c r="Z279" s="75"/>
      <c r="AA279" s="75"/>
    </row>
    <row r="280" spans="1:27" s="82" customFormat="1" ht="12.75" customHeight="1" x14ac:dyDescent="0.4">
      <c r="A280" s="73"/>
      <c r="B280" s="72" t="s">
        <v>141</v>
      </c>
      <c r="C280" s="72"/>
      <c r="D280" s="72"/>
      <c r="E280" s="72"/>
      <c r="F280" s="86"/>
      <c r="G280" s="72" t="s">
        <v>148</v>
      </c>
      <c r="H280" s="72"/>
      <c r="I280" s="72"/>
      <c r="J280" s="72"/>
      <c r="K280" s="75"/>
      <c r="L280" s="75"/>
      <c r="M280" s="142" t="s">
        <v>400</v>
      </c>
      <c r="N280" s="142"/>
      <c r="O280" s="142"/>
      <c r="P280"/>
      <c r="Q280"/>
      <c r="R280" s="73"/>
      <c r="S280" s="86"/>
      <c r="T280" s="86"/>
      <c r="U280" s="86"/>
      <c r="V280" s="86"/>
      <c r="W280" s="87"/>
      <c r="X280" s="75"/>
      <c r="Y280" s="75"/>
      <c r="Z280" s="75"/>
      <c r="AA280" s="75"/>
    </row>
    <row r="281" spans="1:27" s="82" customFormat="1" ht="12.75" customHeight="1" x14ac:dyDescent="0.4">
      <c r="A281" s="73" t="s">
        <v>137</v>
      </c>
      <c r="B281" s="74" t="s">
        <v>113</v>
      </c>
      <c r="C281" s="74" t="s">
        <v>114</v>
      </c>
      <c r="D281" s="74" t="s">
        <v>115</v>
      </c>
      <c r="E281" s="74" t="s">
        <v>116</v>
      </c>
      <c r="F281" s="86"/>
      <c r="G281" s="74" t="s">
        <v>113</v>
      </c>
      <c r="H281" s="74" t="s">
        <v>114</v>
      </c>
      <c r="I281" s="74" t="s">
        <v>115</v>
      </c>
      <c r="J281" s="74" t="s">
        <v>116</v>
      </c>
      <c r="K281" s="75"/>
      <c r="L281" s="75"/>
      <c r="M281" s="142" t="s">
        <v>434</v>
      </c>
      <c r="N281" s="169"/>
      <c r="O281" s="170"/>
      <c r="P281"/>
      <c r="Q281"/>
      <c r="R281" s="73"/>
      <c r="S281" s="86"/>
      <c r="T281" s="86"/>
      <c r="U281" s="86"/>
      <c r="V281" s="86"/>
      <c r="W281" s="87"/>
      <c r="X281" s="75"/>
      <c r="Y281" s="75"/>
      <c r="Z281" s="75"/>
      <c r="AA281" s="75"/>
    </row>
    <row r="282" spans="1:27" ht="12.75" customHeight="1" x14ac:dyDescent="0.4">
      <c r="A282" s="73" t="s">
        <v>128</v>
      </c>
      <c r="B282" s="86">
        <v>29</v>
      </c>
      <c r="C282" s="86">
        <v>17</v>
      </c>
      <c r="D282" s="86">
        <v>8</v>
      </c>
      <c r="E282" s="86">
        <v>4</v>
      </c>
      <c r="F282" s="86"/>
      <c r="G282" s="75">
        <v>1</v>
      </c>
      <c r="H282" s="75">
        <v>0.58620689655172409</v>
      </c>
      <c r="I282" s="75">
        <v>0.27586206896551724</v>
      </c>
      <c r="J282" s="75">
        <v>0.13793103448275862</v>
      </c>
      <c r="K282" s="75"/>
      <c r="L282" s="75"/>
      <c r="M282" s="142" t="s">
        <v>254</v>
      </c>
      <c r="N282" s="142"/>
      <c r="O282" s="142"/>
      <c r="R282" s="73"/>
      <c r="S282" s="86"/>
      <c r="T282" s="86"/>
      <c r="U282" s="86"/>
      <c r="V282" s="86"/>
      <c r="W282" s="87"/>
      <c r="X282" s="75"/>
      <c r="Y282" s="75"/>
      <c r="Z282" s="75"/>
      <c r="AA282" s="75"/>
    </row>
    <row r="283" spans="1:27" ht="12.75" customHeight="1" x14ac:dyDescent="0.4">
      <c r="A283" s="73" t="s">
        <v>129</v>
      </c>
      <c r="B283" s="86">
        <v>25</v>
      </c>
      <c r="C283" s="86">
        <v>17</v>
      </c>
      <c r="D283" s="86">
        <v>5</v>
      </c>
      <c r="E283" s="86">
        <v>3</v>
      </c>
      <c r="F283" s="86"/>
      <c r="G283" s="75">
        <v>1</v>
      </c>
      <c r="H283" s="75">
        <v>0.68</v>
      </c>
      <c r="I283" s="75">
        <v>0.2</v>
      </c>
      <c r="J283" s="75">
        <v>0.12</v>
      </c>
      <c r="K283" s="75"/>
      <c r="L283" s="75"/>
      <c r="M283" s="142" t="s">
        <v>205</v>
      </c>
      <c r="N283" s="157">
        <v>499</v>
      </c>
      <c r="O283" s="171" t="s">
        <v>206</v>
      </c>
      <c r="R283" s="73"/>
      <c r="S283" s="86"/>
      <c r="T283" s="86"/>
      <c r="U283" s="86"/>
      <c r="V283" s="86"/>
      <c r="W283" s="87"/>
      <c r="X283" s="75"/>
      <c r="Y283" s="75"/>
      <c r="Z283" s="75"/>
      <c r="AA283" s="75"/>
    </row>
    <row r="284" spans="1:27" ht="12.75" customHeight="1" x14ac:dyDescent="0.4">
      <c r="A284" s="73" t="s">
        <v>130</v>
      </c>
      <c r="B284" s="86">
        <v>69</v>
      </c>
      <c r="C284" s="86">
        <v>48</v>
      </c>
      <c r="D284" s="86">
        <v>17</v>
      </c>
      <c r="E284" s="86">
        <v>4</v>
      </c>
      <c r="F284" s="86"/>
      <c r="G284" s="75">
        <v>0.98571428571428577</v>
      </c>
      <c r="H284" s="75">
        <v>0.69565217391304346</v>
      </c>
      <c r="I284" s="75">
        <v>0.24637681159420291</v>
      </c>
      <c r="J284" s="75">
        <v>5.7971014492753624E-2</v>
      </c>
      <c r="K284" s="75"/>
      <c r="L284" s="75"/>
      <c r="M284" s="142" t="s">
        <v>435</v>
      </c>
      <c r="N284" s="169">
        <v>337</v>
      </c>
      <c r="O284" s="170">
        <v>0.67535070140280562</v>
      </c>
      <c r="R284" s="73"/>
      <c r="S284" s="87"/>
      <c r="T284" s="86"/>
      <c r="U284" s="86"/>
      <c r="V284" s="87"/>
      <c r="W284" s="72"/>
      <c r="X284" s="75"/>
      <c r="Y284" s="75"/>
      <c r="Z284" s="75"/>
      <c r="AA284" s="75"/>
    </row>
    <row r="285" spans="1:27" ht="12.75" customHeight="1" x14ac:dyDescent="0.4">
      <c r="A285" s="73" t="s">
        <v>131</v>
      </c>
      <c r="B285" s="86">
        <v>64</v>
      </c>
      <c r="C285" s="86">
        <v>50</v>
      </c>
      <c r="D285" s="86">
        <v>10</v>
      </c>
      <c r="E285" s="86">
        <v>4</v>
      </c>
      <c r="F285" s="86"/>
      <c r="G285" s="75">
        <v>1</v>
      </c>
      <c r="H285" s="75">
        <v>0.78125</v>
      </c>
      <c r="I285" s="75">
        <v>0.15625</v>
      </c>
      <c r="J285" s="75">
        <v>6.25E-2</v>
      </c>
      <c r="K285" s="75"/>
      <c r="L285" s="75"/>
      <c r="M285" s="142" t="s">
        <v>230</v>
      </c>
      <c r="N285" s="169">
        <v>124</v>
      </c>
      <c r="O285" s="170">
        <v>0.24849699398797595</v>
      </c>
      <c r="S285" s="82"/>
    </row>
    <row r="286" spans="1:27" ht="12.75" customHeight="1" x14ac:dyDescent="0.4">
      <c r="A286" s="73" t="s">
        <v>132</v>
      </c>
      <c r="B286" s="86">
        <v>32</v>
      </c>
      <c r="C286" s="86">
        <v>27</v>
      </c>
      <c r="D286" s="86">
        <v>5</v>
      </c>
      <c r="E286" s="86">
        <v>0</v>
      </c>
      <c r="F286" s="86"/>
      <c r="G286" s="75">
        <v>0.96969696969696972</v>
      </c>
      <c r="H286" s="75">
        <v>0.84375</v>
      </c>
      <c r="I286" s="75">
        <v>0.15625</v>
      </c>
      <c r="J286" s="75">
        <v>0</v>
      </c>
      <c r="K286" s="75"/>
      <c r="L286" s="75"/>
      <c r="M286" s="142" t="s">
        <v>436</v>
      </c>
      <c r="N286" s="169">
        <v>154</v>
      </c>
      <c r="O286" s="170">
        <v>0.30861723446893785</v>
      </c>
      <c r="P286" s="72"/>
      <c r="S286" s="82"/>
    </row>
    <row r="287" spans="1:27" ht="12.75" customHeight="1" x14ac:dyDescent="0.4">
      <c r="A287" s="73" t="s">
        <v>133</v>
      </c>
      <c r="B287" s="86">
        <v>62</v>
      </c>
      <c r="C287" s="86">
        <v>50</v>
      </c>
      <c r="D287" s="86">
        <v>9</v>
      </c>
      <c r="E287" s="86">
        <v>3</v>
      </c>
      <c r="F287" s="86"/>
      <c r="G287" s="75">
        <v>1</v>
      </c>
      <c r="H287" s="75">
        <v>0.80645161290322576</v>
      </c>
      <c r="I287" s="75">
        <v>0.14516129032258066</v>
      </c>
      <c r="J287" s="75">
        <v>4.8387096774193547E-2</v>
      </c>
      <c r="K287" s="72"/>
      <c r="L287" s="72"/>
      <c r="M287" s="142" t="s">
        <v>231</v>
      </c>
      <c r="N287" s="169">
        <v>40</v>
      </c>
      <c r="O287" s="170">
        <v>8.0160320641282562E-2</v>
      </c>
      <c r="Q287" s="72"/>
      <c r="R287" s="73"/>
      <c r="S287" s="72"/>
      <c r="T287" s="72"/>
      <c r="U287" s="72"/>
      <c r="V287" s="72"/>
      <c r="W287" s="72"/>
      <c r="X287" s="72"/>
      <c r="Y287" s="72"/>
      <c r="Z287" s="72"/>
      <c r="AA287" s="72"/>
    </row>
    <row r="288" spans="1:27" ht="12.75" customHeight="1" x14ac:dyDescent="0.4">
      <c r="A288" s="73" t="s">
        <v>134</v>
      </c>
      <c r="B288" s="86">
        <v>67</v>
      </c>
      <c r="C288" s="86">
        <v>47</v>
      </c>
      <c r="D288" s="86">
        <v>14</v>
      </c>
      <c r="E288" s="86">
        <v>6</v>
      </c>
      <c r="F288" s="87"/>
      <c r="G288" s="75">
        <v>0.98529411764705888</v>
      </c>
      <c r="H288" s="75">
        <v>0.70149253731343286</v>
      </c>
      <c r="I288" s="75">
        <v>0.20895522388059701</v>
      </c>
      <c r="J288" s="75">
        <v>8.9552238805970144E-2</v>
      </c>
      <c r="K288" s="72"/>
      <c r="L288" s="72"/>
      <c r="M288" s="142"/>
      <c r="N288" s="169"/>
      <c r="O288" s="170"/>
      <c r="R288" s="73"/>
      <c r="S288" s="72"/>
      <c r="T288" s="72"/>
      <c r="U288" s="72"/>
      <c r="V288" s="72"/>
      <c r="W288" s="86"/>
      <c r="X288" s="72"/>
      <c r="Y288" s="72"/>
      <c r="Z288" s="72"/>
      <c r="AA288" s="72"/>
    </row>
    <row r="289" spans="1:27" ht="12.75" customHeight="1" x14ac:dyDescent="0.4">
      <c r="A289" s="73" t="s">
        <v>135</v>
      </c>
      <c r="B289" s="86">
        <v>68</v>
      </c>
      <c r="C289" s="86">
        <v>56</v>
      </c>
      <c r="D289" s="86">
        <v>8</v>
      </c>
      <c r="E289" s="86">
        <v>4</v>
      </c>
      <c r="F289" s="87"/>
      <c r="G289" s="75">
        <v>1</v>
      </c>
      <c r="H289" s="75">
        <v>0.82352941176470584</v>
      </c>
      <c r="I289" s="75">
        <v>0.11764705882352941</v>
      </c>
      <c r="J289" s="75">
        <v>5.8823529411764705E-2</v>
      </c>
      <c r="K289" s="72"/>
      <c r="L289" s="74"/>
      <c r="M289" s="142"/>
      <c r="N289" s="169"/>
      <c r="O289" s="170"/>
      <c r="R289" s="73"/>
      <c r="S289" s="74"/>
      <c r="T289" s="74"/>
      <c r="U289" s="74"/>
      <c r="V289" s="74"/>
      <c r="W289" s="86"/>
      <c r="X289" s="74"/>
      <c r="Y289" s="74"/>
      <c r="Z289" s="74"/>
      <c r="AA289" s="74"/>
    </row>
    <row r="290" spans="1:27" ht="12.75" customHeight="1" x14ac:dyDescent="0.4">
      <c r="A290" s="73" t="s">
        <v>382</v>
      </c>
      <c r="B290" s="86">
        <v>25</v>
      </c>
      <c r="C290" s="86">
        <v>22</v>
      </c>
      <c r="D290" s="86">
        <v>1</v>
      </c>
      <c r="E290" s="86">
        <v>2</v>
      </c>
      <c r="F290" s="87"/>
      <c r="G290" s="75">
        <v>0.96153846153846156</v>
      </c>
      <c r="H290" s="75">
        <v>0.88</v>
      </c>
      <c r="I290" s="75">
        <v>0.04</v>
      </c>
      <c r="J290" s="75">
        <v>0.08</v>
      </c>
      <c r="K290" s="74"/>
      <c r="L290" s="75"/>
      <c r="M290" s="142"/>
      <c r="N290" s="75"/>
      <c r="O290" s="75"/>
      <c r="P290" s="72"/>
      <c r="R290" s="73"/>
      <c r="S290" s="86"/>
      <c r="T290" s="86"/>
      <c r="U290" s="86"/>
      <c r="V290" s="86"/>
      <c r="W290" s="86"/>
      <c r="X290" s="75"/>
      <c r="Y290" s="75"/>
      <c r="Z290" s="75"/>
      <c r="AA290" s="75"/>
    </row>
    <row r="291" spans="1:27" ht="12.75" customHeight="1" x14ac:dyDescent="0.4">
      <c r="A291" s="73" t="s">
        <v>136</v>
      </c>
      <c r="B291" s="86">
        <v>28</v>
      </c>
      <c r="C291" s="86">
        <v>14</v>
      </c>
      <c r="D291" s="86">
        <v>11</v>
      </c>
      <c r="E291" s="86">
        <v>3</v>
      </c>
      <c r="F291" s="87"/>
      <c r="G291" s="75">
        <v>1</v>
      </c>
      <c r="H291" s="75">
        <v>0.5</v>
      </c>
      <c r="I291" s="75">
        <v>0.39285714285714285</v>
      </c>
      <c r="J291" s="75">
        <v>0.10714285714285714</v>
      </c>
      <c r="K291" s="75"/>
      <c r="L291" s="75"/>
      <c r="M291" s="142"/>
      <c r="N291" s="75"/>
      <c r="O291" s="75"/>
      <c r="R291" s="73"/>
      <c r="S291" s="86"/>
      <c r="T291" s="86"/>
      <c r="U291" s="86"/>
      <c r="V291" s="86"/>
      <c r="W291" s="86"/>
      <c r="X291" s="75"/>
      <c r="Y291" s="75"/>
      <c r="Z291" s="75"/>
      <c r="AA291" s="75"/>
    </row>
    <row r="292" spans="1:27" ht="12.75" customHeight="1" x14ac:dyDescent="0.4">
      <c r="A292" s="73" t="s">
        <v>308</v>
      </c>
      <c r="B292" s="86">
        <v>32</v>
      </c>
      <c r="C292" s="86">
        <v>23</v>
      </c>
      <c r="D292" s="86">
        <v>7</v>
      </c>
      <c r="E292" s="86">
        <v>2</v>
      </c>
      <c r="F292" s="87"/>
      <c r="G292" s="75">
        <v>1</v>
      </c>
      <c r="H292" s="75">
        <v>0.71875</v>
      </c>
      <c r="I292" s="75">
        <v>0.21875</v>
      </c>
      <c r="J292" s="75">
        <v>6.25E-2</v>
      </c>
      <c r="K292" s="75"/>
      <c r="L292" s="75"/>
      <c r="M292" s="73"/>
      <c r="N292" s="168"/>
      <c r="O292" s="75"/>
      <c r="R292" s="73"/>
      <c r="S292" s="86"/>
      <c r="T292" s="86"/>
      <c r="U292" s="86"/>
      <c r="V292" s="86"/>
      <c r="W292" s="86"/>
      <c r="X292" s="75"/>
      <c r="Y292" s="75"/>
      <c r="Z292" s="75"/>
      <c r="AA292" s="75"/>
    </row>
    <row r="293" spans="1:27" ht="12.75" customHeight="1" x14ac:dyDescent="0.4">
      <c r="A293" s="73" t="s">
        <v>24</v>
      </c>
      <c r="B293" s="87">
        <v>501</v>
      </c>
      <c r="C293" s="86">
        <v>371</v>
      </c>
      <c r="D293" s="86">
        <v>95</v>
      </c>
      <c r="E293" s="87">
        <v>35</v>
      </c>
      <c r="F293" s="72"/>
      <c r="G293" s="75">
        <v>0.99207920792079207</v>
      </c>
      <c r="H293" s="75">
        <v>0.74051896207584833</v>
      </c>
      <c r="I293" s="75">
        <v>0.18962075848303392</v>
      </c>
      <c r="J293" s="75">
        <v>6.9860279441117765E-2</v>
      </c>
      <c r="K293" s="75"/>
      <c r="L293" s="75"/>
      <c r="M293" s="73"/>
      <c r="N293" s="168"/>
      <c r="O293" s="75"/>
      <c r="R293" s="73"/>
      <c r="S293" s="86"/>
      <c r="T293" s="86"/>
      <c r="U293" s="86"/>
      <c r="V293" s="86"/>
      <c r="W293" s="86"/>
      <c r="X293" s="75"/>
      <c r="Y293" s="75"/>
      <c r="Z293" s="75"/>
      <c r="AA293" s="75"/>
    </row>
    <row r="294" spans="1:27" ht="12.75" customHeight="1" x14ac:dyDescent="0.4">
      <c r="A294" s="73"/>
      <c r="B294" s="87"/>
      <c r="C294" s="86"/>
      <c r="D294" s="86"/>
      <c r="E294" s="87"/>
      <c r="F294" s="72"/>
      <c r="G294" s="75"/>
      <c r="H294" s="75"/>
      <c r="I294" s="75"/>
      <c r="J294" s="75"/>
      <c r="K294" s="75"/>
      <c r="L294" s="75"/>
      <c r="M294" s="73"/>
      <c r="N294" s="168"/>
      <c r="O294" s="75"/>
      <c r="R294" s="73"/>
      <c r="S294" s="86"/>
      <c r="T294" s="86"/>
      <c r="U294" s="86"/>
      <c r="V294" s="86"/>
      <c r="W294" s="86"/>
      <c r="X294" s="75"/>
      <c r="Y294" s="75"/>
      <c r="Z294" s="75"/>
      <c r="AA294" s="75"/>
    </row>
    <row r="295" spans="1:27" s="53" customFormat="1" ht="12.75" customHeight="1" x14ac:dyDescent="0.4">
      <c r="A295" s="73"/>
      <c r="B295" s="87"/>
      <c r="C295" s="87"/>
      <c r="D295" s="87"/>
      <c r="E295" s="87"/>
      <c r="F295" s="72"/>
      <c r="G295" s="75"/>
      <c r="H295" s="75"/>
      <c r="I295" s="75"/>
      <c r="J295" s="75"/>
      <c r="K295" s="75"/>
      <c r="L295" s="75"/>
      <c r="M295" s="6"/>
      <c r="N295" s="6"/>
      <c r="O295" s="6"/>
      <c r="P295"/>
      <c r="Q295"/>
      <c r="R295" s="73"/>
      <c r="S295" s="86"/>
      <c r="T295" s="86"/>
      <c r="U295" s="86"/>
      <c r="V295" s="86"/>
      <c r="W295" s="86"/>
      <c r="X295" s="75"/>
      <c r="Y295" s="75"/>
      <c r="Z295" s="75"/>
      <c r="AA295" s="75"/>
    </row>
    <row r="296" spans="1:27" s="53" customFormat="1" ht="12.75" customHeight="1" x14ac:dyDescent="0.4">
      <c r="A296" s="73"/>
      <c r="B296" s="87"/>
      <c r="C296" s="87"/>
      <c r="D296" s="87"/>
      <c r="E296" s="87"/>
      <c r="F296" s="72"/>
      <c r="G296" s="75"/>
      <c r="H296" s="75"/>
      <c r="I296" s="75"/>
      <c r="J296" s="75"/>
      <c r="K296" s="75"/>
      <c r="L296" s="75"/>
      <c r="M296" s="6"/>
      <c r="N296" s="6"/>
      <c r="O296" s="6"/>
      <c r="P296"/>
      <c r="Q296"/>
      <c r="R296" s="73"/>
      <c r="S296" s="86"/>
      <c r="T296" s="86"/>
      <c r="U296" s="86"/>
      <c r="V296" s="86"/>
      <c r="W296" s="87"/>
      <c r="X296" s="75"/>
      <c r="Y296" s="75"/>
      <c r="Z296" s="75"/>
      <c r="AA296" s="75"/>
    </row>
    <row r="297" spans="1:27" s="53" customFormat="1" ht="12.75" customHeight="1" x14ac:dyDescent="0.4">
      <c r="A297" s="73" t="s">
        <v>417</v>
      </c>
      <c r="B297" s="72"/>
      <c r="C297" s="72"/>
      <c r="D297" s="72"/>
      <c r="E297" s="72"/>
      <c r="F297" s="72"/>
      <c r="G297" s="72"/>
      <c r="H297" s="72"/>
      <c r="I297" s="72"/>
      <c r="J297" s="72"/>
      <c r="K297" s="75"/>
      <c r="L297" s="75"/>
      <c r="M297" s="6"/>
      <c r="N297" s="6"/>
      <c r="O297" s="6"/>
      <c r="P297"/>
      <c r="Q297"/>
      <c r="R297" s="73"/>
      <c r="S297" s="86"/>
      <c r="T297" s="86"/>
      <c r="U297" s="86"/>
      <c r="V297" s="86"/>
      <c r="W297" s="87"/>
      <c r="X297" s="75"/>
      <c r="Y297" s="75"/>
      <c r="Z297" s="75"/>
      <c r="AA297" s="75"/>
    </row>
    <row r="298" spans="1:27" s="53" customFormat="1" ht="12.75" customHeight="1" x14ac:dyDescent="0.4">
      <c r="A298" s="73" t="s">
        <v>418</v>
      </c>
      <c r="B298" s="72"/>
      <c r="C298" s="72"/>
      <c r="D298" s="72"/>
      <c r="E298" s="72"/>
      <c r="F298" s="72"/>
      <c r="G298" s="72"/>
      <c r="H298" s="72"/>
      <c r="I298" s="72"/>
      <c r="J298" s="72"/>
      <c r="K298" s="75"/>
      <c r="L298" s="75"/>
      <c r="M298" s="6"/>
      <c r="N298" s="6"/>
      <c r="O298" s="6"/>
      <c r="P298"/>
      <c r="Q298"/>
      <c r="R298" s="73"/>
      <c r="S298" s="86"/>
      <c r="T298" s="86"/>
      <c r="U298" s="86"/>
      <c r="V298" s="86"/>
      <c r="W298" s="87"/>
      <c r="X298" s="75"/>
      <c r="Y298" s="75"/>
      <c r="Z298" s="75"/>
      <c r="AA298" s="75"/>
    </row>
    <row r="299" spans="1:27" ht="12.75" customHeight="1" x14ac:dyDescent="0.4">
      <c r="A299" s="73" t="s">
        <v>419</v>
      </c>
      <c r="B299" s="72"/>
      <c r="C299" s="72"/>
      <c r="D299" s="72"/>
      <c r="E299" s="72"/>
      <c r="F299" s="72"/>
      <c r="G299" s="72"/>
      <c r="H299" s="72"/>
      <c r="I299" s="72"/>
      <c r="J299" s="72"/>
      <c r="K299" s="75"/>
      <c r="L299" s="75"/>
      <c r="M299" s="6"/>
      <c r="N299" s="6"/>
      <c r="O299" s="6"/>
      <c r="R299" s="73"/>
      <c r="S299" s="86"/>
      <c r="T299" s="86"/>
      <c r="U299" s="86"/>
      <c r="V299" s="86"/>
      <c r="W299" s="87"/>
      <c r="X299" s="75"/>
      <c r="Y299" s="75"/>
      <c r="Z299" s="75"/>
      <c r="AA299" s="75"/>
    </row>
    <row r="300" spans="1:27" ht="12.75" customHeight="1" x14ac:dyDescent="0.4">
      <c r="A300" s="73"/>
      <c r="B300" s="72" t="s">
        <v>141</v>
      </c>
      <c r="C300" s="72"/>
      <c r="D300" s="72"/>
      <c r="E300" s="72"/>
      <c r="F300" s="86"/>
      <c r="G300" s="72" t="s">
        <v>148</v>
      </c>
      <c r="H300" s="72"/>
      <c r="I300" s="72"/>
      <c r="J300" s="72"/>
      <c r="K300" s="75"/>
      <c r="L300" s="75"/>
      <c r="M300" s="6" t="s">
        <v>365</v>
      </c>
      <c r="N300" s="6"/>
      <c r="O300" s="6"/>
      <c r="P300" s="72"/>
      <c r="R300" s="73"/>
      <c r="S300" s="86"/>
      <c r="T300" s="86"/>
      <c r="U300" s="86"/>
      <c r="V300" s="86"/>
      <c r="W300" s="87"/>
      <c r="X300" s="75"/>
      <c r="Y300" s="75"/>
      <c r="Z300" s="75"/>
      <c r="AA300" s="75"/>
    </row>
    <row r="301" spans="1:27" ht="12.75" customHeight="1" x14ac:dyDescent="0.4">
      <c r="A301" s="73" t="s">
        <v>137</v>
      </c>
      <c r="B301" s="74" t="s">
        <v>113</v>
      </c>
      <c r="C301" s="74" t="s">
        <v>114</v>
      </c>
      <c r="D301" s="74" t="s">
        <v>115</v>
      </c>
      <c r="E301" s="74" t="s">
        <v>116</v>
      </c>
      <c r="F301" s="86"/>
      <c r="G301" s="74" t="s">
        <v>113</v>
      </c>
      <c r="H301" s="74" t="s">
        <v>114</v>
      </c>
      <c r="I301" s="74" t="s">
        <v>115</v>
      </c>
      <c r="J301" s="74" t="s">
        <v>116</v>
      </c>
      <c r="K301" s="75"/>
      <c r="L301" s="75"/>
      <c r="M301" s="6" t="s">
        <v>420</v>
      </c>
      <c r="N301" s="139"/>
      <c r="O301" s="140"/>
      <c r="P301" s="72"/>
      <c r="R301" s="73"/>
      <c r="S301" s="87"/>
      <c r="T301" s="86"/>
      <c r="U301" s="86"/>
      <c r="V301" s="87"/>
      <c r="W301" s="72"/>
      <c r="X301" s="75"/>
      <c r="Y301" s="75"/>
      <c r="Z301" s="75"/>
      <c r="AA301" s="75"/>
    </row>
    <row r="302" spans="1:27" ht="12.75" customHeight="1" x14ac:dyDescent="0.4">
      <c r="A302" s="73" t="s">
        <v>128</v>
      </c>
      <c r="B302" s="86">
        <v>29</v>
      </c>
      <c r="C302" s="86">
        <v>14</v>
      </c>
      <c r="D302" s="86">
        <v>14</v>
      </c>
      <c r="E302" s="86">
        <v>1</v>
      </c>
      <c r="F302" s="86"/>
      <c r="G302" s="75">
        <v>0.96666666666666667</v>
      </c>
      <c r="H302" s="75">
        <v>0.48275862068965519</v>
      </c>
      <c r="I302" s="75">
        <v>0.48275862068965519</v>
      </c>
      <c r="J302" s="75">
        <v>3.4482758620689655E-2</v>
      </c>
      <c r="K302" s="75"/>
      <c r="L302" s="75"/>
      <c r="M302" s="6" t="s">
        <v>254</v>
      </c>
      <c r="N302" s="6"/>
      <c r="O302" s="6"/>
      <c r="P302" s="72"/>
      <c r="Q302" s="72"/>
      <c r="R302" s="72"/>
    </row>
    <row r="303" spans="1:27" ht="12.75" customHeight="1" x14ac:dyDescent="0.4">
      <c r="A303" s="73" t="s">
        <v>129</v>
      </c>
      <c r="B303" s="86">
        <v>25</v>
      </c>
      <c r="C303" s="86">
        <v>13</v>
      </c>
      <c r="D303" s="86">
        <v>10</v>
      </c>
      <c r="E303" s="86">
        <v>2</v>
      </c>
      <c r="F303" s="86"/>
      <c r="G303" s="75">
        <v>1</v>
      </c>
      <c r="H303" s="75">
        <v>0.52</v>
      </c>
      <c r="I303" s="75">
        <v>0.4</v>
      </c>
      <c r="J303" s="75">
        <v>0.08</v>
      </c>
      <c r="K303" s="75"/>
      <c r="L303" s="75"/>
      <c r="M303" s="6" t="s">
        <v>205</v>
      </c>
      <c r="N303" s="139">
        <v>497</v>
      </c>
      <c r="O303" s="141" t="s">
        <v>206</v>
      </c>
      <c r="Q303" s="72"/>
      <c r="R303" s="72"/>
    </row>
    <row r="304" spans="1:27" ht="12.75" customHeight="1" x14ac:dyDescent="0.4">
      <c r="A304" s="73" t="s">
        <v>130</v>
      </c>
      <c r="B304" s="86">
        <v>69</v>
      </c>
      <c r="C304" s="86">
        <v>55</v>
      </c>
      <c r="D304" s="86">
        <v>11</v>
      </c>
      <c r="E304" s="86">
        <v>3</v>
      </c>
      <c r="F304" s="86"/>
      <c r="G304" s="75">
        <v>1</v>
      </c>
      <c r="H304" s="75">
        <v>0.79710144927536231</v>
      </c>
      <c r="I304" s="75">
        <v>0.15942028985507245</v>
      </c>
      <c r="J304" s="75">
        <v>4.3478260869565216E-2</v>
      </c>
      <c r="K304" s="72"/>
      <c r="L304" s="72"/>
      <c r="M304" s="6" t="s">
        <v>421</v>
      </c>
      <c r="N304" s="139">
        <v>326</v>
      </c>
      <c r="O304" s="140">
        <v>0.65593561368209252</v>
      </c>
      <c r="Q304" s="72"/>
      <c r="R304" s="72"/>
    </row>
    <row r="305" spans="1:19" ht="12.75" customHeight="1" x14ac:dyDescent="0.4">
      <c r="A305" s="73" t="s">
        <v>131</v>
      </c>
      <c r="B305" s="86">
        <v>64</v>
      </c>
      <c r="C305" s="86">
        <v>48</v>
      </c>
      <c r="D305" s="86">
        <v>11</v>
      </c>
      <c r="E305" s="86">
        <v>5</v>
      </c>
      <c r="F305" s="86"/>
      <c r="G305" s="75">
        <v>0.98461538461538467</v>
      </c>
      <c r="H305" s="75">
        <v>0.75</v>
      </c>
      <c r="I305" s="75">
        <v>0.171875</v>
      </c>
      <c r="J305" s="75">
        <v>7.8125E-2</v>
      </c>
      <c r="K305" s="72"/>
      <c r="L305" s="72"/>
      <c r="M305" s="6" t="s">
        <v>230</v>
      </c>
      <c r="N305" s="139">
        <v>93</v>
      </c>
      <c r="O305" s="140">
        <v>0.18712273641851107</v>
      </c>
    </row>
    <row r="306" spans="1:19" ht="12.75" customHeight="1" x14ac:dyDescent="0.4">
      <c r="A306" s="73" t="s">
        <v>132</v>
      </c>
      <c r="B306" s="86">
        <v>33</v>
      </c>
      <c r="C306" s="86">
        <v>20</v>
      </c>
      <c r="D306" s="86">
        <v>9</v>
      </c>
      <c r="E306" s="86">
        <v>4</v>
      </c>
      <c r="F306" s="86"/>
      <c r="G306" s="75">
        <v>1</v>
      </c>
      <c r="H306" s="75">
        <v>0.60606060606060608</v>
      </c>
      <c r="I306" s="75">
        <v>0.27272727272727271</v>
      </c>
      <c r="J306" s="75">
        <v>0.12121212121212122</v>
      </c>
      <c r="K306" s="72"/>
      <c r="L306" s="72"/>
      <c r="M306" s="6" t="s">
        <v>422</v>
      </c>
      <c r="N306" s="139">
        <v>164</v>
      </c>
      <c r="O306" s="140">
        <v>0.32997987927565392</v>
      </c>
    </row>
    <row r="307" spans="1:19" ht="12.75" customHeight="1" x14ac:dyDescent="0.4">
      <c r="A307" s="73" t="s">
        <v>133</v>
      </c>
      <c r="B307" s="86">
        <v>61</v>
      </c>
      <c r="C307" s="86">
        <v>44</v>
      </c>
      <c r="D307" s="86">
        <v>11</v>
      </c>
      <c r="E307" s="86">
        <v>6</v>
      </c>
      <c r="F307" s="86"/>
      <c r="G307" s="75">
        <v>1</v>
      </c>
      <c r="H307" s="75">
        <v>0.72131147540983609</v>
      </c>
      <c r="I307" s="75">
        <v>0.18032786885245902</v>
      </c>
      <c r="J307" s="75">
        <v>9.8360655737704916E-2</v>
      </c>
      <c r="K307" s="72"/>
      <c r="L307" s="72"/>
      <c r="M307" s="6" t="s">
        <v>231</v>
      </c>
      <c r="N307" s="139">
        <v>42</v>
      </c>
      <c r="O307" s="140">
        <v>8.4507042253521125E-2</v>
      </c>
    </row>
    <row r="308" spans="1:19" ht="12.75" customHeight="1" x14ac:dyDescent="0.4">
      <c r="A308" s="73" t="s">
        <v>134</v>
      </c>
      <c r="B308" s="86">
        <v>67</v>
      </c>
      <c r="C308" s="86">
        <v>41</v>
      </c>
      <c r="D308" s="86">
        <v>23</v>
      </c>
      <c r="E308" s="86">
        <v>3</v>
      </c>
      <c r="F308" s="87"/>
      <c r="G308" s="75">
        <v>1</v>
      </c>
      <c r="H308" s="75">
        <v>0.61194029850746268</v>
      </c>
      <c r="I308" s="75">
        <v>0.34328358208955223</v>
      </c>
      <c r="J308" s="75">
        <v>4.4776119402985072E-2</v>
      </c>
      <c r="K308" s="72"/>
      <c r="L308" s="72"/>
      <c r="M308" s="6"/>
      <c r="N308" s="139"/>
      <c r="O308" s="140"/>
      <c r="P308" s="82"/>
    </row>
    <row r="309" spans="1:19" ht="12.75" customHeight="1" x14ac:dyDescent="0.4">
      <c r="A309" s="73" t="s">
        <v>135</v>
      </c>
      <c r="B309" s="86">
        <v>67</v>
      </c>
      <c r="C309" s="86">
        <v>55</v>
      </c>
      <c r="D309" s="86">
        <v>7</v>
      </c>
      <c r="E309" s="86">
        <v>5</v>
      </c>
      <c r="F309" s="87"/>
      <c r="G309" s="75">
        <v>0.98529411764705888</v>
      </c>
      <c r="H309" s="75">
        <v>0.82089552238805974</v>
      </c>
      <c r="I309" s="75">
        <v>0.1044776119402985</v>
      </c>
      <c r="J309" s="75">
        <v>7.4626865671641784E-2</v>
      </c>
      <c r="K309" s="72"/>
      <c r="L309" s="74"/>
      <c r="M309" s="6"/>
      <c r="N309" s="139"/>
      <c r="O309" s="140"/>
    </row>
    <row r="310" spans="1:19" ht="12.75" customHeight="1" x14ac:dyDescent="0.4">
      <c r="A310" s="73" t="s">
        <v>382</v>
      </c>
      <c r="B310" s="86">
        <v>25</v>
      </c>
      <c r="C310" s="86">
        <v>16</v>
      </c>
      <c r="D310" s="86">
        <v>7</v>
      </c>
      <c r="E310" s="86">
        <v>2</v>
      </c>
      <c r="F310" s="87"/>
      <c r="G310" s="75">
        <v>0.96153846153846156</v>
      </c>
      <c r="H310" s="75">
        <v>0.64</v>
      </c>
      <c r="I310" s="75">
        <v>0.28000000000000003</v>
      </c>
      <c r="J310" s="75">
        <v>0.08</v>
      </c>
      <c r="K310" s="74"/>
      <c r="L310" s="75"/>
      <c r="M310" s="6"/>
      <c r="N310" s="75"/>
      <c r="O310" s="75"/>
    </row>
    <row r="311" spans="1:19" s="53" customFormat="1" ht="12.75" customHeight="1" x14ac:dyDescent="0.4">
      <c r="A311" s="73" t="s">
        <v>136</v>
      </c>
      <c r="B311" s="86">
        <v>29</v>
      </c>
      <c r="C311" s="86">
        <v>17</v>
      </c>
      <c r="D311" s="86">
        <v>11</v>
      </c>
      <c r="E311" s="86">
        <v>1</v>
      </c>
      <c r="F311" s="87"/>
      <c r="G311" s="75">
        <v>1</v>
      </c>
      <c r="H311" s="75">
        <v>0.58620689655172409</v>
      </c>
      <c r="I311" s="75">
        <v>0.37931034482758619</v>
      </c>
      <c r="J311" s="75">
        <v>3.4482758620689655E-2</v>
      </c>
      <c r="K311" s="75"/>
      <c r="L311" s="75"/>
      <c r="M311" s="6"/>
      <c r="N311" s="75"/>
      <c r="O311" s="75"/>
      <c r="P311"/>
      <c r="Q311"/>
      <c r="R311"/>
      <c r="S311"/>
    </row>
    <row r="312" spans="1:19" s="53" customFormat="1" ht="12.75" customHeight="1" x14ac:dyDescent="0.4">
      <c r="A312" s="73" t="s">
        <v>308</v>
      </c>
      <c r="B312" s="86">
        <v>32</v>
      </c>
      <c r="C312" s="86">
        <v>18</v>
      </c>
      <c r="D312" s="86">
        <v>11</v>
      </c>
      <c r="E312" s="86">
        <v>3</v>
      </c>
      <c r="F312" s="87"/>
      <c r="G312" s="75">
        <v>1</v>
      </c>
      <c r="H312" s="75">
        <v>0.5625</v>
      </c>
      <c r="I312" s="75">
        <v>0.34375</v>
      </c>
      <c r="J312" s="75">
        <v>9.375E-2</v>
      </c>
      <c r="K312" s="75"/>
      <c r="L312" s="75"/>
      <c r="M312" s="73"/>
      <c r="N312" s="168"/>
      <c r="O312" s="75"/>
      <c r="P312"/>
      <c r="Q312"/>
      <c r="R312"/>
      <c r="S312"/>
    </row>
    <row r="313" spans="1:19" s="53" customFormat="1" ht="12.75" customHeight="1" x14ac:dyDescent="0.4">
      <c r="A313" s="73" t="s">
        <v>24</v>
      </c>
      <c r="B313" s="87">
        <v>501</v>
      </c>
      <c r="C313" s="86">
        <v>341</v>
      </c>
      <c r="D313" s="86">
        <v>125</v>
      </c>
      <c r="E313" s="87">
        <v>35</v>
      </c>
      <c r="F313" s="72"/>
      <c r="G313" s="75">
        <v>0.99207920792079207</v>
      </c>
      <c r="H313" s="75">
        <v>0.68063872255489022</v>
      </c>
      <c r="I313" s="75">
        <v>0.249500998003992</v>
      </c>
      <c r="J313" s="75">
        <v>6.9860279441117765E-2</v>
      </c>
      <c r="K313" s="75"/>
      <c r="L313" s="75"/>
      <c r="M313" s="73"/>
      <c r="N313" s="168"/>
      <c r="O313" s="75"/>
      <c r="P313"/>
      <c r="Q313"/>
      <c r="R313"/>
      <c r="S313"/>
    </row>
    <row r="314" spans="1:19" s="53" customFormat="1" ht="12.75" customHeight="1" x14ac:dyDescent="0.4">
      <c r="A314" s="73"/>
      <c r="B314" s="87"/>
      <c r="C314" s="87"/>
      <c r="D314" s="87"/>
      <c r="E314" s="87"/>
      <c r="F314" s="72"/>
      <c r="G314" s="75"/>
      <c r="H314" s="75"/>
      <c r="I314" s="75"/>
      <c r="J314" s="75"/>
      <c r="K314" s="75"/>
      <c r="L314" s="75"/>
      <c r="M314" s="6"/>
      <c r="N314" s="6"/>
      <c r="O314" s="113"/>
      <c r="P314"/>
      <c r="Q314"/>
      <c r="R314"/>
      <c r="S314"/>
    </row>
    <row r="315" spans="1:19" ht="12.75" customHeight="1" x14ac:dyDescent="0.4">
      <c r="A315" s="73"/>
      <c r="B315" s="87"/>
      <c r="C315" s="87"/>
      <c r="D315" s="87"/>
      <c r="E315" s="87"/>
      <c r="F315" s="72"/>
      <c r="G315" s="75"/>
      <c r="H315" s="75"/>
      <c r="I315" s="75"/>
      <c r="J315" s="75"/>
      <c r="K315" s="75"/>
      <c r="L315" s="75"/>
      <c r="M315" s="6"/>
      <c r="N315" s="6"/>
      <c r="O315" s="6"/>
    </row>
    <row r="316" spans="1:19" ht="12.75" customHeight="1" x14ac:dyDescent="0.4">
      <c r="A316" s="73"/>
      <c r="B316" s="87"/>
      <c r="C316" s="87"/>
      <c r="D316" s="87"/>
      <c r="E316" s="87"/>
      <c r="F316" s="72"/>
      <c r="G316" s="75"/>
      <c r="H316" s="75"/>
      <c r="I316" s="75"/>
      <c r="J316" s="75"/>
      <c r="K316" s="75"/>
      <c r="L316" s="75"/>
      <c r="M316" s="6"/>
      <c r="N316" s="6"/>
      <c r="O316" s="6"/>
      <c r="S316" s="53"/>
    </row>
    <row r="317" spans="1:19" ht="12.75" customHeight="1" x14ac:dyDescent="0.4">
      <c r="A317" s="73" t="s">
        <v>394</v>
      </c>
      <c r="B317" s="72"/>
      <c r="C317" s="72"/>
      <c r="D317" s="72"/>
      <c r="E317" s="72"/>
      <c r="F317" s="72"/>
      <c r="G317" s="72"/>
      <c r="H317" s="72"/>
      <c r="I317" s="72"/>
      <c r="J317" s="72"/>
      <c r="K317" s="75"/>
      <c r="L317" s="75"/>
      <c r="M317" s="6"/>
      <c r="N317" s="6"/>
      <c r="O317" s="6"/>
      <c r="P317" s="72"/>
      <c r="S317" s="53"/>
    </row>
    <row r="318" spans="1:19" ht="13.15" x14ac:dyDescent="0.4">
      <c r="A318" s="73" t="s">
        <v>402</v>
      </c>
      <c r="B318" s="72"/>
      <c r="C318" s="72"/>
      <c r="D318" s="72"/>
      <c r="E318" s="72"/>
      <c r="F318" s="72"/>
      <c r="G318" s="72"/>
      <c r="H318" s="72"/>
      <c r="I318" s="72"/>
      <c r="J318" s="72"/>
      <c r="K318" s="75"/>
      <c r="L318" s="75"/>
      <c r="M318" s="6"/>
      <c r="N318" s="6"/>
      <c r="O318" s="6"/>
      <c r="P318" s="72"/>
      <c r="S318" s="53"/>
    </row>
    <row r="319" spans="1:19" ht="12.75" customHeight="1" x14ac:dyDescent="0.4">
      <c r="A319" s="73" t="s">
        <v>404</v>
      </c>
      <c r="B319" s="72"/>
      <c r="C319" s="72"/>
      <c r="D319" s="72"/>
      <c r="E319" s="72"/>
      <c r="F319" s="72"/>
      <c r="G319" s="72"/>
      <c r="H319" s="72"/>
      <c r="I319" s="72"/>
      <c r="J319" s="72"/>
      <c r="K319" s="75"/>
      <c r="L319" s="75"/>
      <c r="M319" s="6"/>
      <c r="N319" s="6"/>
      <c r="O319" s="6"/>
      <c r="P319" s="72"/>
      <c r="Q319" s="72"/>
      <c r="R319" s="72"/>
    </row>
    <row r="320" spans="1:19" ht="12.75" customHeight="1" x14ac:dyDescent="0.4">
      <c r="A320" s="73"/>
      <c r="B320" s="72" t="s">
        <v>141</v>
      </c>
      <c r="C320" s="72"/>
      <c r="D320" s="72"/>
      <c r="E320" s="72"/>
      <c r="F320" s="86"/>
      <c r="G320" s="72" t="s">
        <v>148</v>
      </c>
      <c r="H320" s="72"/>
      <c r="I320" s="72"/>
      <c r="J320" s="72"/>
      <c r="K320" s="75"/>
      <c r="L320" s="75"/>
      <c r="M320" s="6" t="s">
        <v>364</v>
      </c>
      <c r="N320" s="6"/>
      <c r="O320" s="6"/>
      <c r="Q320" s="72"/>
      <c r="R320" s="72"/>
    </row>
    <row r="321" spans="1:19" ht="12.75" customHeight="1" x14ac:dyDescent="0.4">
      <c r="A321" s="73" t="s">
        <v>137</v>
      </c>
      <c r="B321" s="74" t="s">
        <v>113</v>
      </c>
      <c r="C321" s="74" t="s">
        <v>114</v>
      </c>
      <c r="D321" s="74" t="s">
        <v>115</v>
      </c>
      <c r="E321" s="74" t="s">
        <v>116</v>
      </c>
      <c r="F321" s="86"/>
      <c r="G321" s="74" t="s">
        <v>113</v>
      </c>
      <c r="H321" s="74" t="s">
        <v>114</v>
      </c>
      <c r="I321" s="74" t="s">
        <v>115</v>
      </c>
      <c r="J321" s="74" t="s">
        <v>116</v>
      </c>
      <c r="K321" s="75"/>
      <c r="L321" s="75"/>
      <c r="M321" s="6" t="s">
        <v>398</v>
      </c>
      <c r="N321" s="139"/>
      <c r="O321" s="140"/>
      <c r="Q321" s="72"/>
      <c r="R321" s="72"/>
    </row>
    <row r="322" spans="1:19" ht="12.75" customHeight="1" x14ac:dyDescent="0.4">
      <c r="A322" s="73" t="s">
        <v>128</v>
      </c>
      <c r="B322" s="86">
        <v>30</v>
      </c>
      <c r="C322" s="86">
        <v>22</v>
      </c>
      <c r="D322" s="86">
        <v>6</v>
      </c>
      <c r="E322" s="86">
        <v>2</v>
      </c>
      <c r="F322" s="86"/>
      <c r="G322" s="75">
        <v>1</v>
      </c>
      <c r="H322" s="75">
        <v>0.73333333333333328</v>
      </c>
      <c r="I322" s="75">
        <v>0.2</v>
      </c>
      <c r="J322" s="75">
        <v>6.6666666666666666E-2</v>
      </c>
      <c r="K322" s="75"/>
      <c r="L322" s="75"/>
      <c r="M322" s="6" t="s">
        <v>254</v>
      </c>
      <c r="N322" s="6"/>
      <c r="O322" s="6"/>
    </row>
    <row r="323" spans="1:19" ht="12.75" customHeight="1" x14ac:dyDescent="0.4">
      <c r="A323" s="73" t="s">
        <v>129</v>
      </c>
      <c r="B323" s="86">
        <v>23</v>
      </c>
      <c r="C323" s="86">
        <v>16</v>
      </c>
      <c r="D323" s="86">
        <v>6</v>
      </c>
      <c r="E323" s="86">
        <v>1</v>
      </c>
      <c r="F323" s="86"/>
      <c r="G323" s="75">
        <v>0.95833333333333337</v>
      </c>
      <c r="H323" s="75">
        <v>0.69565217391304346</v>
      </c>
      <c r="I323" s="75">
        <v>0.2608695652173913</v>
      </c>
      <c r="J323" s="75">
        <v>4.3478260869565216E-2</v>
      </c>
      <c r="K323" s="75"/>
      <c r="L323" s="75"/>
      <c r="M323" s="6" t="s">
        <v>205</v>
      </c>
      <c r="N323" s="139">
        <v>498</v>
      </c>
      <c r="O323" s="141" t="s">
        <v>206</v>
      </c>
    </row>
    <row r="324" spans="1:19" ht="12.75" customHeight="1" x14ac:dyDescent="0.4">
      <c r="A324" s="73" t="s">
        <v>130</v>
      </c>
      <c r="B324" s="86">
        <v>69</v>
      </c>
      <c r="C324" s="86">
        <v>46</v>
      </c>
      <c r="D324" s="86">
        <v>13</v>
      </c>
      <c r="E324" s="86">
        <v>10</v>
      </c>
      <c r="F324" s="86"/>
      <c r="G324" s="75">
        <v>0.971830985915493</v>
      </c>
      <c r="H324" s="75">
        <v>0.66666666666666663</v>
      </c>
      <c r="I324" s="75">
        <v>0.18840579710144928</v>
      </c>
      <c r="J324" s="75">
        <v>0.14492753623188406</v>
      </c>
      <c r="K324" s="75"/>
      <c r="L324" s="75"/>
      <c r="M324" s="6" t="s">
        <v>395</v>
      </c>
      <c r="N324" s="139">
        <v>310</v>
      </c>
      <c r="O324" s="140">
        <v>0.6224899598393574</v>
      </c>
    </row>
    <row r="325" spans="1:19" ht="12.75" customHeight="1" x14ac:dyDescent="0.4">
      <c r="A325" s="73" t="s">
        <v>131</v>
      </c>
      <c r="B325" s="86">
        <v>65</v>
      </c>
      <c r="C325" s="86">
        <v>53</v>
      </c>
      <c r="D325" s="86">
        <v>6</v>
      </c>
      <c r="E325" s="86">
        <v>6</v>
      </c>
      <c r="F325" s="86"/>
      <c r="G325" s="75">
        <v>1</v>
      </c>
      <c r="H325" s="75">
        <v>0.81538461538461537</v>
      </c>
      <c r="I325" s="75">
        <v>9.2307692307692313E-2</v>
      </c>
      <c r="J325" s="75">
        <v>9.2307692307692313E-2</v>
      </c>
      <c r="K325" s="72"/>
      <c r="L325" s="72"/>
      <c r="M325" s="6" t="s">
        <v>230</v>
      </c>
      <c r="N325" s="139">
        <v>88</v>
      </c>
      <c r="O325" s="140">
        <v>0.17670682730923695</v>
      </c>
      <c r="P325" s="82"/>
    </row>
    <row r="326" spans="1:19" ht="12.75" customHeight="1" x14ac:dyDescent="0.4">
      <c r="A326" s="73" t="s">
        <v>132</v>
      </c>
      <c r="B326" s="86">
        <v>32</v>
      </c>
      <c r="C326" s="86">
        <v>24</v>
      </c>
      <c r="D326" s="86">
        <v>5</v>
      </c>
      <c r="E326" s="86">
        <v>3</v>
      </c>
      <c r="F326" s="86"/>
      <c r="G326" s="75">
        <v>1</v>
      </c>
      <c r="H326" s="75">
        <v>0.75</v>
      </c>
      <c r="I326" s="75">
        <v>0.15625</v>
      </c>
      <c r="J326" s="75">
        <v>9.375E-2</v>
      </c>
      <c r="K326" s="72"/>
      <c r="L326" s="72"/>
      <c r="M326" s="6" t="s">
        <v>396</v>
      </c>
      <c r="N326" s="139">
        <v>178</v>
      </c>
      <c r="O326" s="140">
        <v>0.35742971887550201</v>
      </c>
    </row>
    <row r="327" spans="1:19" ht="12.75" customHeight="1" x14ac:dyDescent="0.4">
      <c r="A327" s="73" t="s">
        <v>133</v>
      </c>
      <c r="B327" s="86">
        <v>62</v>
      </c>
      <c r="C327" s="86">
        <v>48</v>
      </c>
      <c r="D327" s="86">
        <v>9</v>
      </c>
      <c r="E327" s="86">
        <v>5</v>
      </c>
      <c r="F327" s="86"/>
      <c r="G327" s="75">
        <v>0.96875</v>
      </c>
      <c r="H327" s="75">
        <v>0.77419354838709675</v>
      </c>
      <c r="I327" s="75">
        <v>0.14516129032258066</v>
      </c>
      <c r="J327" s="75">
        <v>8.0645161290322578E-2</v>
      </c>
      <c r="K327" s="72"/>
      <c r="L327" s="74"/>
      <c r="M327" s="6" t="s">
        <v>231</v>
      </c>
      <c r="N327" s="139">
        <v>32</v>
      </c>
      <c r="O327" s="140">
        <v>6.4257028112449793E-2</v>
      </c>
    </row>
    <row r="328" spans="1:19" s="53" customFormat="1" ht="12.75" customHeight="1" x14ac:dyDescent="0.4">
      <c r="A328" s="73" t="s">
        <v>134</v>
      </c>
      <c r="B328" s="86">
        <v>66</v>
      </c>
      <c r="C328" s="86">
        <v>51</v>
      </c>
      <c r="D328" s="86">
        <v>10</v>
      </c>
      <c r="E328" s="86">
        <v>5</v>
      </c>
      <c r="F328" s="87"/>
      <c r="G328" s="75">
        <v>0.9850746268656716</v>
      </c>
      <c r="H328" s="75">
        <v>0.77272727272727271</v>
      </c>
      <c r="I328" s="75">
        <v>0.15151515151515152</v>
      </c>
      <c r="J328" s="75">
        <v>7.575757575757576E-2</v>
      </c>
      <c r="K328" s="74"/>
      <c r="L328" s="75"/>
      <c r="M328" s="6"/>
      <c r="N328" s="139"/>
      <c r="O328" s="140"/>
      <c r="P328"/>
      <c r="Q328"/>
      <c r="R328"/>
      <c r="S328"/>
    </row>
    <row r="329" spans="1:19" s="53" customFormat="1" ht="12.75" customHeight="1" x14ac:dyDescent="0.4">
      <c r="A329" s="73" t="s">
        <v>135</v>
      </c>
      <c r="B329" s="86">
        <v>64</v>
      </c>
      <c r="C329" s="86">
        <v>58</v>
      </c>
      <c r="D329" s="86">
        <v>3</v>
      </c>
      <c r="E329" s="86">
        <v>3</v>
      </c>
      <c r="F329" s="87"/>
      <c r="G329" s="75">
        <v>0.98461538461538467</v>
      </c>
      <c r="H329" s="75">
        <v>0.90625</v>
      </c>
      <c r="I329" s="75">
        <v>4.6875E-2</v>
      </c>
      <c r="J329" s="75">
        <v>4.6875E-2</v>
      </c>
      <c r="K329" s="75"/>
      <c r="L329" s="75"/>
      <c r="M329" s="6"/>
      <c r="N329" s="139"/>
      <c r="O329" s="140"/>
      <c r="P329"/>
      <c r="Q329"/>
      <c r="R329"/>
      <c r="S329"/>
    </row>
    <row r="330" spans="1:19" s="53" customFormat="1" ht="12.75" customHeight="1" x14ac:dyDescent="0.4">
      <c r="A330" s="73" t="s">
        <v>382</v>
      </c>
      <c r="B330" s="86">
        <v>25</v>
      </c>
      <c r="C330" s="86">
        <v>20</v>
      </c>
      <c r="D330" s="86">
        <v>3</v>
      </c>
      <c r="E330" s="86">
        <v>2</v>
      </c>
      <c r="F330" s="87"/>
      <c r="G330" s="75">
        <v>0.96153846153846156</v>
      </c>
      <c r="H330" s="75">
        <v>0.8</v>
      </c>
      <c r="I330" s="75">
        <v>0.12</v>
      </c>
      <c r="J330" s="75">
        <v>0.08</v>
      </c>
      <c r="K330" s="75"/>
      <c r="L330" s="75"/>
      <c r="M330" s="6"/>
      <c r="N330" s="75"/>
      <c r="O330" s="75"/>
      <c r="P330"/>
      <c r="Q330"/>
      <c r="R330"/>
      <c r="S330"/>
    </row>
    <row r="331" spans="1:19" s="53" customFormat="1" ht="12.75" customHeight="1" x14ac:dyDescent="0.4">
      <c r="A331" s="73" t="s">
        <v>136</v>
      </c>
      <c r="B331" s="86">
        <v>29</v>
      </c>
      <c r="C331" s="86">
        <v>24</v>
      </c>
      <c r="D331" s="86">
        <v>4</v>
      </c>
      <c r="E331" s="86">
        <v>1</v>
      </c>
      <c r="F331" s="87"/>
      <c r="G331" s="75">
        <v>1</v>
      </c>
      <c r="H331" s="75">
        <v>0.82758620689655171</v>
      </c>
      <c r="I331" s="75">
        <v>0.13793103448275862</v>
      </c>
      <c r="J331" s="75">
        <v>3.4482758620689655E-2</v>
      </c>
      <c r="K331" s="75"/>
      <c r="L331" s="75"/>
      <c r="M331" s="6"/>
      <c r="N331" s="75"/>
      <c r="O331" s="75"/>
      <c r="P331"/>
      <c r="Q331"/>
      <c r="R331"/>
      <c r="S331"/>
    </row>
    <row r="332" spans="1:19" ht="12.75" customHeight="1" x14ac:dyDescent="0.4">
      <c r="A332" s="73" t="s">
        <v>308</v>
      </c>
      <c r="B332" s="86">
        <v>32</v>
      </c>
      <c r="C332" s="86">
        <v>20</v>
      </c>
      <c r="D332" s="86">
        <v>10</v>
      </c>
      <c r="E332" s="86">
        <v>2</v>
      </c>
      <c r="F332" s="87"/>
      <c r="G332" s="75">
        <v>1</v>
      </c>
      <c r="H332" s="75">
        <v>0.625</v>
      </c>
      <c r="I332" s="75">
        <v>0.3125</v>
      </c>
      <c r="J332" s="75">
        <v>6.25E-2</v>
      </c>
      <c r="K332" s="75"/>
      <c r="L332" s="75"/>
      <c r="M332" s="73"/>
      <c r="N332" s="168"/>
      <c r="O332" s="75"/>
    </row>
    <row r="333" spans="1:19" ht="12.75" customHeight="1" x14ac:dyDescent="0.4">
      <c r="A333" s="73" t="s">
        <v>24</v>
      </c>
      <c r="B333" s="87">
        <v>497</v>
      </c>
      <c r="C333" s="86">
        <v>382</v>
      </c>
      <c r="D333" s="86">
        <v>75</v>
      </c>
      <c r="E333" s="87">
        <v>40</v>
      </c>
      <c r="F333" s="72"/>
      <c r="G333" s="75">
        <v>0.98415841584158414</v>
      </c>
      <c r="H333" s="75">
        <v>0.76861167002012076</v>
      </c>
      <c r="I333" s="75">
        <v>0.15090543259557343</v>
      </c>
      <c r="J333" s="75">
        <v>8.0482897384305835E-2</v>
      </c>
      <c r="K333" s="75"/>
      <c r="L333" s="75"/>
      <c r="M333" s="73"/>
      <c r="N333" s="168"/>
      <c r="O333" s="75"/>
      <c r="S333" s="53"/>
    </row>
    <row r="334" spans="1:19" ht="12.75" customHeight="1" x14ac:dyDescent="0.4">
      <c r="A334" s="73"/>
      <c r="B334" s="87"/>
      <c r="C334" s="86"/>
      <c r="D334" s="86"/>
      <c r="E334" s="87"/>
      <c r="F334" s="72"/>
      <c r="G334" s="75"/>
      <c r="H334" s="75"/>
      <c r="I334" s="75"/>
      <c r="J334" s="75"/>
      <c r="K334" s="75"/>
      <c r="L334" s="75"/>
      <c r="M334" s="73"/>
      <c r="N334" s="168"/>
      <c r="O334" s="75"/>
      <c r="S334" s="53"/>
    </row>
    <row r="335" spans="1:19" ht="12.75" customHeight="1" x14ac:dyDescent="0.4">
      <c r="A335" s="73"/>
      <c r="B335" s="87"/>
      <c r="C335" s="86"/>
      <c r="D335" s="86"/>
      <c r="E335" s="87"/>
      <c r="F335" s="72"/>
      <c r="G335" s="75"/>
      <c r="H335" s="75"/>
      <c r="I335" s="75"/>
      <c r="J335" s="75"/>
      <c r="K335" s="75"/>
      <c r="L335" s="75"/>
      <c r="M335" s="73"/>
      <c r="N335" s="75"/>
      <c r="O335" s="75"/>
      <c r="S335" s="53"/>
    </row>
    <row r="336" spans="1:19" ht="12.75" customHeight="1" x14ac:dyDescent="0.4">
      <c r="A336" s="73"/>
      <c r="B336" s="72"/>
      <c r="C336" s="72"/>
      <c r="D336" s="72"/>
      <c r="E336" s="72"/>
      <c r="F336" s="72"/>
      <c r="G336" s="73"/>
      <c r="H336" s="72"/>
      <c r="I336" s="72"/>
      <c r="J336" s="72"/>
      <c r="K336" s="75"/>
      <c r="L336" s="75"/>
      <c r="M336" s="73"/>
      <c r="N336" s="75"/>
      <c r="O336" s="75"/>
      <c r="S336" s="53"/>
    </row>
    <row r="337" spans="1:19" ht="12.75" customHeight="1" x14ac:dyDescent="0.4">
      <c r="A337" s="73" t="s">
        <v>377</v>
      </c>
      <c r="B337" s="72"/>
      <c r="C337" s="72"/>
      <c r="D337" s="72"/>
      <c r="E337" s="72"/>
      <c r="F337" s="72"/>
      <c r="G337" s="72"/>
      <c r="H337" s="72"/>
      <c r="I337" s="72"/>
      <c r="J337" s="72"/>
      <c r="K337" s="75"/>
      <c r="L337" s="75"/>
      <c r="M337" s="73"/>
      <c r="N337" s="75"/>
      <c r="O337" s="75"/>
      <c r="P337" s="72"/>
      <c r="S337" s="53"/>
    </row>
    <row r="338" spans="1:19" ht="13.15" x14ac:dyDescent="0.4">
      <c r="A338" s="73" t="s">
        <v>380</v>
      </c>
      <c r="B338" s="72"/>
      <c r="C338" s="72"/>
      <c r="D338" s="72"/>
      <c r="E338" s="72"/>
      <c r="F338" s="72"/>
      <c r="G338" s="72"/>
      <c r="H338" s="72"/>
      <c r="I338" s="72"/>
      <c r="J338" s="72"/>
      <c r="K338" s="75"/>
      <c r="L338" s="75"/>
      <c r="M338" s="73"/>
      <c r="N338" s="75"/>
      <c r="O338" s="75"/>
      <c r="P338" s="72"/>
      <c r="S338" s="53"/>
    </row>
    <row r="339" spans="1:19" ht="12.75" customHeight="1" x14ac:dyDescent="0.4">
      <c r="A339" s="73" t="s">
        <v>381</v>
      </c>
      <c r="B339" s="72"/>
      <c r="C339" s="72"/>
      <c r="D339" s="72"/>
      <c r="E339" s="72"/>
      <c r="F339" s="72"/>
      <c r="G339" s="72"/>
      <c r="H339" s="72"/>
      <c r="I339" s="72"/>
      <c r="J339" s="72"/>
      <c r="K339" s="75"/>
      <c r="L339" s="75"/>
      <c r="M339" s="73"/>
      <c r="N339" s="75"/>
      <c r="O339" s="75"/>
      <c r="P339" s="72"/>
      <c r="Q339" s="72"/>
      <c r="R339" s="72"/>
    </row>
    <row r="340" spans="1:19" ht="12.75" customHeight="1" x14ac:dyDescent="0.4">
      <c r="A340" s="73"/>
      <c r="B340" s="72" t="s">
        <v>141</v>
      </c>
      <c r="C340" s="72"/>
      <c r="D340" s="72"/>
      <c r="E340" s="72"/>
      <c r="F340" s="86"/>
      <c r="G340" s="72" t="s">
        <v>148</v>
      </c>
      <c r="H340" s="72"/>
      <c r="I340" s="72"/>
      <c r="J340" s="72"/>
      <c r="K340" s="75"/>
      <c r="L340" s="75"/>
      <c r="M340" s="6" t="s">
        <v>363</v>
      </c>
      <c r="N340" s="6"/>
      <c r="O340" s="6"/>
      <c r="P340" s="72"/>
      <c r="Q340" s="72"/>
      <c r="R340" s="72"/>
    </row>
    <row r="341" spans="1:19" ht="12.75" customHeight="1" x14ac:dyDescent="0.4">
      <c r="A341" s="73" t="s">
        <v>137</v>
      </c>
      <c r="B341" s="74" t="s">
        <v>113</v>
      </c>
      <c r="C341" s="74" t="s">
        <v>114</v>
      </c>
      <c r="D341" s="74" t="s">
        <v>115</v>
      </c>
      <c r="E341" s="74" t="s">
        <v>116</v>
      </c>
      <c r="F341" s="86"/>
      <c r="G341" s="74" t="s">
        <v>113</v>
      </c>
      <c r="H341" s="74" t="s">
        <v>114</v>
      </c>
      <c r="I341" s="74" t="s">
        <v>115</v>
      </c>
      <c r="J341" s="74" t="s">
        <v>116</v>
      </c>
      <c r="K341" s="75"/>
      <c r="L341" s="75"/>
      <c r="M341" s="6" t="s">
        <v>376</v>
      </c>
      <c r="N341" s="139"/>
      <c r="O341" s="140"/>
      <c r="Q341" s="72"/>
      <c r="R341" s="72"/>
    </row>
    <row r="342" spans="1:19" ht="12.75" customHeight="1" x14ac:dyDescent="0.4">
      <c r="A342" s="73" t="s">
        <v>128</v>
      </c>
      <c r="B342" s="86">
        <v>31</v>
      </c>
      <c r="C342" s="86">
        <v>13</v>
      </c>
      <c r="D342" s="86">
        <v>16</v>
      </c>
      <c r="E342" s="86">
        <v>2</v>
      </c>
      <c r="F342" s="86"/>
      <c r="G342" s="75">
        <f>B342/31</f>
        <v>1</v>
      </c>
      <c r="H342" s="75">
        <f>C342/B342</f>
        <v>0.41935483870967744</v>
      </c>
      <c r="I342" s="75">
        <f>D342/B342</f>
        <v>0.5161290322580645</v>
      </c>
      <c r="J342" s="75">
        <f>E342/B342</f>
        <v>6.4516129032258063E-2</v>
      </c>
      <c r="K342" s="75"/>
      <c r="L342" s="75"/>
      <c r="M342" s="6" t="s">
        <v>254</v>
      </c>
      <c r="N342" s="6"/>
      <c r="O342" s="6"/>
      <c r="Q342" s="72"/>
      <c r="R342" s="72"/>
    </row>
    <row r="343" spans="1:19" ht="12.75" customHeight="1" x14ac:dyDescent="0.4">
      <c r="A343" s="73" t="s">
        <v>129</v>
      </c>
      <c r="B343" s="86">
        <v>24</v>
      </c>
      <c r="C343" s="86">
        <v>20</v>
      </c>
      <c r="D343" s="86">
        <v>2</v>
      </c>
      <c r="E343" s="86">
        <v>2</v>
      </c>
      <c r="F343" s="86"/>
      <c r="G343" s="75">
        <f>B343/24</f>
        <v>1</v>
      </c>
      <c r="H343" s="75">
        <f t="shared" ref="H343:H352" si="9">C343/B343</f>
        <v>0.83333333333333337</v>
      </c>
      <c r="I343" s="75">
        <f t="shared" ref="I343:I353" si="10">D343/B343</f>
        <v>8.3333333333333329E-2</v>
      </c>
      <c r="J343" s="75">
        <f t="shared" ref="J343:J353" si="11">E343/B343</f>
        <v>8.3333333333333329E-2</v>
      </c>
      <c r="K343" s="72"/>
      <c r="L343" s="72"/>
      <c r="M343" s="6" t="s">
        <v>205</v>
      </c>
      <c r="N343" s="139">
        <v>500</v>
      </c>
      <c r="O343" s="141" t="s">
        <v>206</v>
      </c>
      <c r="P343" s="82"/>
    </row>
    <row r="344" spans="1:19" ht="12.75" customHeight="1" x14ac:dyDescent="0.4">
      <c r="A344" s="73" t="s">
        <v>130</v>
      </c>
      <c r="B344" s="86">
        <v>69</v>
      </c>
      <c r="C344" s="86">
        <v>57</v>
      </c>
      <c r="D344" s="86">
        <v>10</v>
      </c>
      <c r="E344" s="86">
        <v>2</v>
      </c>
      <c r="F344" s="86"/>
      <c r="G344" s="75">
        <f>B344/69</f>
        <v>1</v>
      </c>
      <c r="H344" s="75">
        <f t="shared" si="9"/>
        <v>0.82608695652173914</v>
      </c>
      <c r="I344" s="75">
        <f t="shared" si="10"/>
        <v>0.14492753623188406</v>
      </c>
      <c r="J344" s="75">
        <f t="shared" si="11"/>
        <v>2.8985507246376812E-2</v>
      </c>
      <c r="K344" s="72"/>
      <c r="L344" s="72"/>
      <c r="M344" s="6" t="s">
        <v>378</v>
      </c>
      <c r="N344" s="139">
        <v>311</v>
      </c>
      <c r="O344" s="140">
        <f>N344/N343</f>
        <v>0.622</v>
      </c>
    </row>
    <row r="345" spans="1:19" ht="12.75" customHeight="1" x14ac:dyDescent="0.4">
      <c r="A345" s="73" t="s">
        <v>131</v>
      </c>
      <c r="B345" s="86">
        <v>79</v>
      </c>
      <c r="C345" s="86">
        <v>64</v>
      </c>
      <c r="D345" s="86">
        <v>12</v>
      </c>
      <c r="E345" s="86">
        <v>3</v>
      </c>
      <c r="F345" s="86"/>
      <c r="G345" s="75">
        <f>B345/80</f>
        <v>0.98750000000000004</v>
      </c>
      <c r="H345" s="75">
        <f t="shared" si="9"/>
        <v>0.810126582278481</v>
      </c>
      <c r="I345" s="75">
        <f t="shared" si="10"/>
        <v>0.15189873417721519</v>
      </c>
      <c r="J345" s="75">
        <f t="shared" si="11"/>
        <v>3.7974683544303799E-2</v>
      </c>
      <c r="K345" s="72"/>
      <c r="L345" s="72"/>
      <c r="M345" s="6" t="s">
        <v>230</v>
      </c>
      <c r="N345" s="139">
        <v>78</v>
      </c>
      <c r="O345" s="140">
        <f>N345/N343</f>
        <v>0.156</v>
      </c>
    </row>
    <row r="346" spans="1:19" ht="12.75" customHeight="1" x14ac:dyDescent="0.4">
      <c r="A346" s="73" t="s">
        <v>132</v>
      </c>
      <c r="B346" s="86">
        <v>32</v>
      </c>
      <c r="C346" s="86">
        <v>29</v>
      </c>
      <c r="D346" s="86">
        <v>1</v>
      </c>
      <c r="E346" s="86">
        <v>2</v>
      </c>
      <c r="F346" s="86"/>
      <c r="G346" s="75">
        <f>B346/33</f>
        <v>0.96969696969696972</v>
      </c>
      <c r="H346" s="75">
        <f t="shared" si="9"/>
        <v>0.90625</v>
      </c>
      <c r="I346" s="75">
        <f t="shared" si="10"/>
        <v>3.125E-2</v>
      </c>
      <c r="J346" s="75">
        <f t="shared" si="11"/>
        <v>6.25E-2</v>
      </c>
      <c r="K346" s="72"/>
      <c r="L346" s="74"/>
      <c r="M346" s="6" t="s">
        <v>379</v>
      </c>
      <c r="N346" s="139">
        <v>183</v>
      </c>
      <c r="O346" s="140">
        <f>N346/N343</f>
        <v>0.36599999999999999</v>
      </c>
    </row>
    <row r="347" spans="1:19" ht="12.75" customHeight="1" x14ac:dyDescent="0.4">
      <c r="A347" s="73" t="s">
        <v>133</v>
      </c>
      <c r="B347" s="86">
        <v>63</v>
      </c>
      <c r="C347" s="86">
        <v>58</v>
      </c>
      <c r="D347" s="86">
        <v>3</v>
      </c>
      <c r="E347" s="86">
        <v>2</v>
      </c>
      <c r="F347" s="86"/>
      <c r="G347" s="75">
        <f>B347/63</f>
        <v>1</v>
      </c>
      <c r="H347" s="75">
        <f t="shared" si="9"/>
        <v>0.92063492063492058</v>
      </c>
      <c r="I347" s="75">
        <f t="shared" si="10"/>
        <v>4.7619047619047616E-2</v>
      </c>
      <c r="J347" s="75">
        <f t="shared" si="11"/>
        <v>3.1746031746031744E-2</v>
      </c>
      <c r="K347" s="74"/>
      <c r="L347" s="75"/>
      <c r="M347" s="6" t="s">
        <v>231</v>
      </c>
      <c r="N347" s="139">
        <v>31</v>
      </c>
      <c r="O347" s="140">
        <f>N347/N343</f>
        <v>6.2E-2</v>
      </c>
    </row>
    <row r="348" spans="1:19" ht="12.75" customHeight="1" x14ac:dyDescent="0.4">
      <c r="A348" s="73" t="s">
        <v>134</v>
      </c>
      <c r="B348" s="86">
        <v>66</v>
      </c>
      <c r="C348" s="86">
        <v>49</v>
      </c>
      <c r="D348" s="86">
        <v>12</v>
      </c>
      <c r="E348" s="86">
        <v>5</v>
      </c>
      <c r="F348" s="87"/>
      <c r="G348" s="75">
        <f>B348/68</f>
        <v>0.97058823529411764</v>
      </c>
      <c r="H348" s="75">
        <f t="shared" si="9"/>
        <v>0.74242424242424243</v>
      </c>
      <c r="I348" s="75">
        <f t="shared" si="10"/>
        <v>0.18181818181818182</v>
      </c>
      <c r="J348" s="75">
        <f t="shared" si="11"/>
        <v>7.575757575757576E-2</v>
      </c>
      <c r="K348" s="75"/>
      <c r="L348" s="75"/>
      <c r="M348" s="6"/>
      <c r="N348" s="139"/>
      <c r="O348" s="140"/>
    </row>
    <row r="349" spans="1:19" s="82" customFormat="1" ht="12.75" customHeight="1" x14ac:dyDescent="0.4">
      <c r="A349" s="73" t="s">
        <v>135</v>
      </c>
      <c r="B349" s="86">
        <v>71</v>
      </c>
      <c r="C349" s="86">
        <v>65</v>
      </c>
      <c r="D349" s="86">
        <v>5</v>
      </c>
      <c r="E349" s="86">
        <v>1</v>
      </c>
      <c r="F349" s="87"/>
      <c r="G349" s="75">
        <f>B349/72</f>
        <v>0.98611111111111116</v>
      </c>
      <c r="H349" s="75">
        <f t="shared" si="9"/>
        <v>0.91549295774647887</v>
      </c>
      <c r="I349" s="75">
        <f t="shared" si="10"/>
        <v>7.0422535211267609E-2</v>
      </c>
      <c r="J349" s="75">
        <f t="shared" si="11"/>
        <v>1.4084507042253521E-2</v>
      </c>
      <c r="K349" s="75"/>
      <c r="L349" s="75"/>
      <c r="M349" s="6"/>
      <c r="N349" s="139"/>
      <c r="O349" s="140"/>
      <c r="P349"/>
      <c r="Q349"/>
      <c r="R349"/>
      <c r="S349"/>
    </row>
    <row r="350" spans="1:19" s="82" customFormat="1" ht="12.75" customHeight="1" x14ac:dyDescent="0.4">
      <c r="A350" s="73" t="s">
        <v>382</v>
      </c>
      <c r="B350" s="86">
        <v>3</v>
      </c>
      <c r="C350" s="86">
        <v>2</v>
      </c>
      <c r="D350" s="86">
        <v>1</v>
      </c>
      <c r="E350" s="86">
        <v>0</v>
      </c>
      <c r="F350" s="87"/>
      <c r="G350" s="75">
        <f>B350/3</f>
        <v>1</v>
      </c>
      <c r="H350" s="75">
        <f t="shared" si="9"/>
        <v>0.66666666666666663</v>
      </c>
      <c r="I350" s="75">
        <f t="shared" si="10"/>
        <v>0.33333333333333331</v>
      </c>
      <c r="J350" s="75">
        <f t="shared" si="11"/>
        <v>0</v>
      </c>
      <c r="K350" s="75"/>
      <c r="L350" s="75"/>
      <c r="M350" s="6"/>
      <c r="N350" s="139"/>
      <c r="O350" s="140"/>
      <c r="P350"/>
      <c r="Q350"/>
      <c r="R350"/>
      <c r="S350"/>
    </row>
    <row r="351" spans="1:19" s="82" customFormat="1" ht="12.75" customHeight="1" x14ac:dyDescent="0.4">
      <c r="A351" s="73" t="s">
        <v>136</v>
      </c>
      <c r="B351" s="86">
        <v>29</v>
      </c>
      <c r="C351" s="86">
        <v>21</v>
      </c>
      <c r="D351" s="86">
        <v>5</v>
      </c>
      <c r="E351" s="86">
        <v>3</v>
      </c>
      <c r="F351" s="87"/>
      <c r="G351" s="75">
        <f>B351/29</f>
        <v>1</v>
      </c>
      <c r="H351" s="75">
        <f t="shared" si="9"/>
        <v>0.72413793103448276</v>
      </c>
      <c r="I351" s="75">
        <f t="shared" si="10"/>
        <v>0.17241379310344829</v>
      </c>
      <c r="J351" s="75">
        <f t="shared" si="11"/>
        <v>0.10344827586206896</v>
      </c>
      <c r="K351" s="75"/>
      <c r="L351" s="75"/>
      <c r="M351" s="6"/>
      <c r="N351" s="139"/>
      <c r="O351" s="140"/>
      <c r="P351"/>
      <c r="Q351"/>
      <c r="R351"/>
      <c r="S351"/>
    </row>
    <row r="352" spans="1:19" s="82" customFormat="1" ht="12.75" customHeight="1" x14ac:dyDescent="0.4">
      <c r="A352" s="73" t="s">
        <v>308</v>
      </c>
      <c r="B352" s="86">
        <v>32</v>
      </c>
      <c r="C352" s="86">
        <v>21</v>
      </c>
      <c r="D352" s="86">
        <v>7</v>
      </c>
      <c r="E352" s="86">
        <v>4</v>
      </c>
      <c r="F352" s="87"/>
      <c r="G352" s="75">
        <f>B352/33</f>
        <v>0.96969696969696972</v>
      </c>
      <c r="H352" s="75">
        <f t="shared" si="9"/>
        <v>0.65625</v>
      </c>
      <c r="I352" s="75">
        <f t="shared" si="10"/>
        <v>0.21875</v>
      </c>
      <c r="J352" s="75">
        <f t="shared" si="11"/>
        <v>0.125</v>
      </c>
      <c r="K352" s="75"/>
      <c r="L352" s="75"/>
      <c r="M352" s="6"/>
      <c r="N352" s="139"/>
      <c r="O352" s="140"/>
      <c r="P352"/>
      <c r="Q352"/>
      <c r="R352"/>
      <c r="S352"/>
    </row>
    <row r="353" spans="1:19" ht="12.75" customHeight="1" x14ac:dyDescent="0.4">
      <c r="A353" s="73" t="s">
        <v>24</v>
      </c>
      <c r="B353" s="87">
        <v>499</v>
      </c>
      <c r="C353" s="86">
        <v>399</v>
      </c>
      <c r="D353" s="86">
        <v>74</v>
      </c>
      <c r="E353" s="87">
        <v>26</v>
      </c>
      <c r="F353" s="72"/>
      <c r="G353" s="75">
        <f>B353/505</f>
        <v>0.98811881188118811</v>
      </c>
      <c r="H353" s="75">
        <f>C353/B353</f>
        <v>0.79959919839679361</v>
      </c>
      <c r="I353" s="75">
        <f t="shared" si="10"/>
        <v>0.14829659318637275</v>
      </c>
      <c r="J353" s="75">
        <f t="shared" si="11"/>
        <v>5.2104208416833664E-2</v>
      </c>
      <c r="K353" s="75"/>
      <c r="L353" s="75"/>
      <c r="M353" s="6"/>
      <c r="N353" s="139"/>
      <c r="O353" s="140"/>
    </row>
    <row r="354" spans="1:19" ht="12.75" customHeight="1" x14ac:dyDescent="0.4">
      <c r="A354" s="73"/>
      <c r="B354" s="87"/>
      <c r="C354" s="86"/>
      <c r="D354" s="86"/>
      <c r="E354" s="87"/>
      <c r="F354" s="72"/>
      <c r="G354" s="75"/>
      <c r="H354" s="75"/>
      <c r="I354" s="75"/>
      <c r="J354" s="75"/>
      <c r="K354" s="75"/>
      <c r="L354" s="75"/>
      <c r="M354" s="6"/>
      <c r="N354" s="75"/>
      <c r="O354" s="75"/>
      <c r="S354" s="82"/>
    </row>
    <row r="355" spans="1:19" ht="12.75" customHeight="1" x14ac:dyDescent="0.4">
      <c r="A355" s="73"/>
      <c r="B355" s="87"/>
      <c r="C355" s="86"/>
      <c r="D355" s="86"/>
      <c r="E355" s="87"/>
      <c r="F355" s="72"/>
      <c r="G355" s="75"/>
      <c r="H355" s="75"/>
      <c r="I355" s="75"/>
      <c r="J355" s="75"/>
      <c r="K355" s="75"/>
      <c r="L355" s="75"/>
      <c r="M355" s="6"/>
      <c r="N355" s="75"/>
      <c r="O355" s="75"/>
      <c r="P355" s="72"/>
      <c r="S355" s="82"/>
    </row>
    <row r="356" spans="1:19" ht="12.75" customHeight="1" x14ac:dyDescent="0.4">
      <c r="A356" s="73" t="s">
        <v>388</v>
      </c>
      <c r="B356" s="72"/>
      <c r="C356" s="72"/>
      <c r="D356" s="72"/>
      <c r="E356" s="72"/>
      <c r="F356" s="72"/>
      <c r="G356" s="72"/>
      <c r="H356" s="72"/>
      <c r="I356" s="72"/>
      <c r="J356" s="72"/>
      <c r="K356" s="75"/>
      <c r="L356" s="75"/>
      <c r="M356" s="73"/>
      <c r="N356" s="168"/>
      <c r="O356" s="75"/>
      <c r="P356" s="72"/>
      <c r="S356" s="82"/>
    </row>
    <row r="357" spans="1:19" ht="12.75" customHeight="1" x14ac:dyDescent="0.4">
      <c r="A357" s="73" t="s">
        <v>373</v>
      </c>
      <c r="B357" s="72"/>
      <c r="C357" s="72"/>
      <c r="D357" s="72"/>
      <c r="E357" s="72"/>
      <c r="F357" s="72"/>
      <c r="G357" s="72"/>
      <c r="H357" s="72"/>
      <c r="I357" s="72"/>
      <c r="J357" s="72"/>
      <c r="K357" s="75"/>
      <c r="L357" s="75"/>
      <c r="M357" s="73"/>
      <c r="N357" s="75"/>
      <c r="O357" s="75"/>
      <c r="P357" s="72"/>
      <c r="S357" s="82"/>
    </row>
    <row r="358" spans="1:19" ht="12.75" customHeight="1" x14ac:dyDescent="0.4">
      <c r="A358" s="73" t="s">
        <v>389</v>
      </c>
      <c r="B358" s="72"/>
      <c r="C358" s="72"/>
      <c r="D358" s="72"/>
      <c r="E358" s="72"/>
      <c r="F358" s="72"/>
      <c r="G358" s="72"/>
      <c r="H358" s="72"/>
      <c r="I358" s="72"/>
      <c r="J358" s="72"/>
      <c r="K358" s="75"/>
      <c r="L358" s="75"/>
      <c r="M358" s="73"/>
      <c r="N358" s="168"/>
      <c r="O358" s="75"/>
      <c r="P358" s="72"/>
      <c r="S358" s="82"/>
    </row>
    <row r="359" spans="1:19" ht="13.15" x14ac:dyDescent="0.4">
      <c r="A359" s="73"/>
      <c r="B359" s="72" t="s">
        <v>141</v>
      </c>
      <c r="C359" s="72"/>
      <c r="D359" s="72"/>
      <c r="E359" s="72"/>
      <c r="F359" s="86"/>
      <c r="G359" s="72" t="s">
        <v>148</v>
      </c>
      <c r="H359" s="72"/>
      <c r="I359" s="72"/>
      <c r="J359" s="72"/>
      <c r="K359" s="75"/>
      <c r="L359" s="75"/>
      <c r="M359" s="142" t="s">
        <v>362</v>
      </c>
      <c r="N359" s="142"/>
      <c r="O359" s="142"/>
      <c r="S359" s="53"/>
    </row>
    <row r="360" spans="1:19" ht="12.75" customHeight="1" x14ac:dyDescent="0.4">
      <c r="A360" s="73" t="s">
        <v>137</v>
      </c>
      <c r="B360" s="74" t="s">
        <v>113</v>
      </c>
      <c r="C360" s="74" t="s">
        <v>114</v>
      </c>
      <c r="D360" s="74" t="s">
        <v>115</v>
      </c>
      <c r="E360" s="74" t="s">
        <v>116</v>
      </c>
      <c r="F360" s="86"/>
      <c r="G360" s="74" t="s">
        <v>113</v>
      </c>
      <c r="H360" s="74" t="s">
        <v>114</v>
      </c>
      <c r="I360" s="74" t="s">
        <v>115</v>
      </c>
      <c r="J360" s="74" t="s">
        <v>116</v>
      </c>
      <c r="K360" s="75"/>
      <c r="L360" s="75"/>
      <c r="M360" s="142" t="s">
        <v>390</v>
      </c>
      <c r="N360" s="169"/>
      <c r="O360" s="170"/>
      <c r="Q360" s="72"/>
      <c r="R360" s="72"/>
    </row>
    <row r="361" spans="1:19" ht="12.75" customHeight="1" x14ac:dyDescent="0.4">
      <c r="A361" s="73" t="s">
        <v>128</v>
      </c>
      <c r="B361" s="86">
        <v>31</v>
      </c>
      <c r="C361" s="86">
        <v>22</v>
      </c>
      <c r="D361" s="86">
        <v>8</v>
      </c>
      <c r="E361" s="86">
        <v>1</v>
      </c>
      <c r="F361" s="86"/>
      <c r="G361" s="75">
        <f>B361/31</f>
        <v>1</v>
      </c>
      <c r="H361" s="75">
        <f>C361/B361</f>
        <v>0.70967741935483875</v>
      </c>
      <c r="I361" s="75">
        <f>D361/B361</f>
        <v>0.25806451612903225</v>
      </c>
      <c r="J361" s="75">
        <f>E361/B361</f>
        <v>3.2258064516129031E-2</v>
      </c>
      <c r="K361" s="75"/>
      <c r="L361" s="75"/>
      <c r="M361" s="142" t="s">
        <v>254</v>
      </c>
      <c r="N361" s="142"/>
      <c r="O361" s="142"/>
      <c r="Q361" s="72"/>
      <c r="R361" s="72"/>
    </row>
    <row r="362" spans="1:19" ht="12.75" customHeight="1" x14ac:dyDescent="0.4">
      <c r="A362" s="73" t="s">
        <v>129</v>
      </c>
      <c r="B362" s="86">
        <v>25</v>
      </c>
      <c r="C362" s="86">
        <v>18</v>
      </c>
      <c r="D362" s="86">
        <v>6</v>
      </c>
      <c r="E362" s="86">
        <v>1</v>
      </c>
      <c r="F362" s="86"/>
      <c r="G362" s="75">
        <f>B362/25</f>
        <v>1</v>
      </c>
      <c r="H362" s="75">
        <f t="shared" ref="H362:H371" si="12">C362/B362</f>
        <v>0.72</v>
      </c>
      <c r="I362" s="75">
        <f t="shared" ref="I362:I372" si="13">D362/B362</f>
        <v>0.24</v>
      </c>
      <c r="J362" s="75">
        <f t="shared" ref="J362:J372" si="14">E362/B362</f>
        <v>0.04</v>
      </c>
      <c r="K362" s="72"/>
      <c r="L362" s="72"/>
      <c r="M362" s="142" t="s">
        <v>205</v>
      </c>
      <c r="N362" s="169">
        <v>499</v>
      </c>
      <c r="O362" s="171" t="s">
        <v>206</v>
      </c>
      <c r="Q362" s="72"/>
      <c r="R362" s="72"/>
    </row>
    <row r="363" spans="1:19" ht="12.75" customHeight="1" x14ac:dyDescent="0.4">
      <c r="A363" s="73" t="s">
        <v>130</v>
      </c>
      <c r="B363" s="86">
        <v>69</v>
      </c>
      <c r="C363" s="86">
        <v>54</v>
      </c>
      <c r="D363" s="86">
        <v>11</v>
      </c>
      <c r="E363" s="86">
        <v>4</v>
      </c>
      <c r="F363" s="86"/>
      <c r="G363" s="75">
        <f>B363/70</f>
        <v>0.98571428571428577</v>
      </c>
      <c r="H363" s="75">
        <f t="shared" si="12"/>
        <v>0.78260869565217395</v>
      </c>
      <c r="I363" s="75">
        <f t="shared" si="13"/>
        <v>0.15942028985507245</v>
      </c>
      <c r="J363" s="75">
        <f t="shared" si="14"/>
        <v>5.7971014492753624E-2</v>
      </c>
      <c r="K363" s="72"/>
      <c r="L363" s="74"/>
      <c r="M363" s="142" t="s">
        <v>391</v>
      </c>
      <c r="N363" s="169">
        <v>300</v>
      </c>
      <c r="O363" s="170">
        <f>N363/N362</f>
        <v>0.60120240480961928</v>
      </c>
      <c r="Q363" s="72"/>
      <c r="R363" s="72"/>
    </row>
    <row r="364" spans="1:19" ht="12.75" customHeight="1" x14ac:dyDescent="0.4">
      <c r="A364" s="73" t="s">
        <v>131</v>
      </c>
      <c r="B364" s="86">
        <v>81</v>
      </c>
      <c r="C364" s="86">
        <v>62</v>
      </c>
      <c r="D364" s="86">
        <v>17</v>
      </c>
      <c r="E364" s="86">
        <v>2</v>
      </c>
      <c r="F364" s="86"/>
      <c r="G364" s="75">
        <f>B364/82</f>
        <v>0.98780487804878048</v>
      </c>
      <c r="H364" s="75">
        <f t="shared" si="12"/>
        <v>0.76543209876543206</v>
      </c>
      <c r="I364" s="75">
        <f t="shared" si="13"/>
        <v>0.20987654320987653</v>
      </c>
      <c r="J364" s="75">
        <f t="shared" si="14"/>
        <v>2.4691358024691357E-2</v>
      </c>
      <c r="K364" s="74"/>
      <c r="L364" s="75"/>
      <c r="M364" s="142" t="s">
        <v>230</v>
      </c>
      <c r="N364" s="169">
        <v>68</v>
      </c>
      <c r="O364" s="170">
        <f>N364/N362</f>
        <v>0.13627254509018036</v>
      </c>
      <c r="P364" s="82"/>
    </row>
    <row r="365" spans="1:19" ht="12.75" customHeight="1" x14ac:dyDescent="0.4">
      <c r="A365" s="73" t="s">
        <v>132</v>
      </c>
      <c r="B365" s="86">
        <v>34</v>
      </c>
      <c r="C365" s="86">
        <v>27</v>
      </c>
      <c r="D365" s="86">
        <v>6</v>
      </c>
      <c r="E365" s="86">
        <v>1</v>
      </c>
      <c r="F365" s="86"/>
      <c r="G365" s="75">
        <f>B365/34</f>
        <v>1</v>
      </c>
      <c r="H365" s="75">
        <f t="shared" si="12"/>
        <v>0.79411764705882348</v>
      </c>
      <c r="I365" s="75">
        <f t="shared" si="13"/>
        <v>0.17647058823529413</v>
      </c>
      <c r="J365" s="75">
        <f t="shared" si="14"/>
        <v>2.9411764705882353E-2</v>
      </c>
      <c r="K365" s="75"/>
      <c r="L365" s="75"/>
      <c r="M365" s="142" t="s">
        <v>392</v>
      </c>
      <c r="N365" s="169">
        <v>194</v>
      </c>
      <c r="O365" s="170">
        <f>N365/N362</f>
        <v>0.38877755511022044</v>
      </c>
    </row>
    <row r="366" spans="1:19" ht="12.75" customHeight="1" x14ac:dyDescent="0.4">
      <c r="A366" s="73" t="s">
        <v>133</v>
      </c>
      <c r="B366" s="86">
        <v>61</v>
      </c>
      <c r="C366" s="86">
        <v>50</v>
      </c>
      <c r="D366" s="86">
        <v>6</v>
      </c>
      <c r="E366" s="86">
        <v>5</v>
      </c>
      <c r="F366" s="86"/>
      <c r="G366" s="75">
        <f>B366/61</f>
        <v>1</v>
      </c>
      <c r="H366" s="75">
        <f t="shared" si="12"/>
        <v>0.81967213114754101</v>
      </c>
      <c r="I366" s="75">
        <f t="shared" si="13"/>
        <v>9.8360655737704916E-2</v>
      </c>
      <c r="J366" s="75">
        <f t="shared" si="14"/>
        <v>8.1967213114754092E-2</v>
      </c>
      <c r="K366" s="75"/>
      <c r="L366" s="75"/>
      <c r="M366" s="142" t="s">
        <v>231</v>
      </c>
      <c r="N366" s="169">
        <v>35</v>
      </c>
      <c r="O366" s="170">
        <f>N366/N362</f>
        <v>7.0140280561122245E-2</v>
      </c>
    </row>
    <row r="367" spans="1:19" ht="12.75" customHeight="1" x14ac:dyDescent="0.4">
      <c r="A367" s="73" t="s">
        <v>134</v>
      </c>
      <c r="B367" s="86">
        <v>66</v>
      </c>
      <c r="C367" s="86">
        <v>52</v>
      </c>
      <c r="D367" s="86">
        <v>7</v>
      </c>
      <c r="E367" s="86">
        <v>7</v>
      </c>
      <c r="F367" s="87"/>
      <c r="G367" s="75">
        <f>B367/68</f>
        <v>0.97058823529411764</v>
      </c>
      <c r="H367" s="75">
        <f t="shared" si="12"/>
        <v>0.78787878787878785</v>
      </c>
      <c r="I367" s="75">
        <f t="shared" si="13"/>
        <v>0.10606060606060606</v>
      </c>
      <c r="J367" s="75">
        <f t="shared" si="14"/>
        <v>0.10606060606060606</v>
      </c>
      <c r="K367" s="75"/>
      <c r="L367" s="75"/>
      <c r="M367" s="142"/>
      <c r="N367" s="169"/>
      <c r="O367" s="170"/>
    </row>
    <row r="368" spans="1:19" ht="12.75" customHeight="1" x14ac:dyDescent="0.4">
      <c r="A368" s="73" t="s">
        <v>135</v>
      </c>
      <c r="B368" s="86">
        <v>69</v>
      </c>
      <c r="C368" s="86">
        <v>63</v>
      </c>
      <c r="D368" s="86">
        <v>1</v>
      </c>
      <c r="E368" s="86">
        <v>5</v>
      </c>
      <c r="F368" s="87"/>
      <c r="G368" s="75">
        <f>B368/70</f>
        <v>0.98571428571428577</v>
      </c>
      <c r="H368" s="75">
        <f t="shared" si="12"/>
        <v>0.91304347826086951</v>
      </c>
      <c r="I368" s="75">
        <f t="shared" si="13"/>
        <v>1.4492753623188406E-2</v>
      </c>
      <c r="J368" s="75">
        <f t="shared" si="14"/>
        <v>7.2463768115942032E-2</v>
      </c>
      <c r="K368" s="75"/>
      <c r="L368" s="75"/>
      <c r="M368" s="142"/>
      <c r="N368" s="169"/>
      <c r="O368" s="170"/>
    </row>
    <row r="369" spans="1:19" ht="12.75" customHeight="1" x14ac:dyDescent="0.4">
      <c r="A369" s="73" t="s">
        <v>393</v>
      </c>
      <c r="B369" s="86">
        <v>3</v>
      </c>
      <c r="C369" s="86">
        <v>2</v>
      </c>
      <c r="D369" s="86">
        <v>1</v>
      </c>
      <c r="E369" s="86">
        <v>0</v>
      </c>
      <c r="F369" s="87"/>
      <c r="G369" s="75">
        <f>B369/3</f>
        <v>1</v>
      </c>
      <c r="H369" s="75">
        <f t="shared" si="12"/>
        <v>0.66666666666666663</v>
      </c>
      <c r="I369" s="75">
        <f t="shared" si="13"/>
        <v>0.33333333333333331</v>
      </c>
      <c r="J369" s="75">
        <f t="shared" si="14"/>
        <v>0</v>
      </c>
      <c r="K369" s="75"/>
      <c r="L369" s="75"/>
      <c r="M369" s="142"/>
      <c r="N369" s="169"/>
      <c r="O369" s="170"/>
    </row>
    <row r="370" spans="1:19" s="53" customFormat="1" ht="12.75" customHeight="1" x14ac:dyDescent="0.4">
      <c r="A370" s="73" t="s">
        <v>136</v>
      </c>
      <c r="B370" s="86">
        <v>28</v>
      </c>
      <c r="C370" s="86">
        <v>17</v>
      </c>
      <c r="D370" s="86">
        <v>9</v>
      </c>
      <c r="E370" s="86">
        <v>2</v>
      </c>
      <c r="F370" s="87"/>
      <c r="G370" s="75">
        <f>B370/28</f>
        <v>1</v>
      </c>
      <c r="H370" s="75">
        <f t="shared" si="12"/>
        <v>0.6071428571428571</v>
      </c>
      <c r="I370" s="75">
        <f t="shared" si="13"/>
        <v>0.32142857142857145</v>
      </c>
      <c r="J370" s="75">
        <f t="shared" si="14"/>
        <v>7.1428571428571425E-2</v>
      </c>
      <c r="K370" s="75"/>
      <c r="L370" s="75"/>
      <c r="M370" s="142"/>
      <c r="N370" s="169"/>
      <c r="O370" s="170"/>
      <c r="P370"/>
      <c r="Q370"/>
      <c r="R370"/>
      <c r="S370"/>
    </row>
    <row r="371" spans="1:19" s="53" customFormat="1" ht="12.75" customHeight="1" x14ac:dyDescent="0.4">
      <c r="A371" s="73" t="s">
        <v>308</v>
      </c>
      <c r="B371" s="86">
        <v>33</v>
      </c>
      <c r="C371" s="86">
        <v>18</v>
      </c>
      <c r="D371" s="86">
        <v>14</v>
      </c>
      <c r="E371" s="86">
        <v>1</v>
      </c>
      <c r="F371" s="87"/>
      <c r="G371" s="75">
        <f>B371/33</f>
        <v>1</v>
      </c>
      <c r="H371" s="75">
        <f t="shared" si="12"/>
        <v>0.54545454545454541</v>
      </c>
      <c r="I371" s="75">
        <f t="shared" si="13"/>
        <v>0.42424242424242425</v>
      </c>
      <c r="J371" s="75">
        <f t="shared" si="14"/>
        <v>3.0303030303030304E-2</v>
      </c>
      <c r="K371" s="75"/>
      <c r="L371" s="75"/>
      <c r="M371" s="142"/>
      <c r="N371" s="169"/>
      <c r="O371" s="170"/>
      <c r="P371"/>
      <c r="Q371"/>
      <c r="R371"/>
      <c r="S371"/>
    </row>
    <row r="372" spans="1:19" s="53" customFormat="1" ht="12.75" customHeight="1" x14ac:dyDescent="0.4">
      <c r="A372" s="73" t="s">
        <v>24</v>
      </c>
      <c r="B372" s="87">
        <v>500</v>
      </c>
      <c r="C372" s="86">
        <v>385</v>
      </c>
      <c r="D372" s="86">
        <v>86</v>
      </c>
      <c r="E372" s="87">
        <v>29</v>
      </c>
      <c r="F372" s="72"/>
      <c r="G372" s="75">
        <f>B372/505</f>
        <v>0.99009900990099009</v>
      </c>
      <c r="H372" s="75">
        <f>C372/B372</f>
        <v>0.77</v>
      </c>
      <c r="I372" s="75">
        <f t="shared" si="13"/>
        <v>0.17199999999999999</v>
      </c>
      <c r="J372" s="75">
        <f t="shared" si="14"/>
        <v>5.8000000000000003E-2</v>
      </c>
      <c r="K372" s="75"/>
      <c r="L372" s="75"/>
      <c r="M372" s="142"/>
      <c r="N372" s="75"/>
      <c r="O372" s="75"/>
      <c r="P372"/>
      <c r="Q372"/>
      <c r="R372"/>
      <c r="S372"/>
    </row>
    <row r="373" spans="1:19" s="53" customFormat="1" ht="12.75" customHeight="1" x14ac:dyDescent="0.4">
      <c r="A373" s="73"/>
      <c r="B373" s="87"/>
      <c r="C373" s="86"/>
      <c r="D373" s="86"/>
      <c r="E373" s="87"/>
      <c r="F373" s="72"/>
      <c r="G373" s="75"/>
      <c r="H373" s="75"/>
      <c r="I373" s="75"/>
      <c r="J373" s="75"/>
      <c r="K373" s="75"/>
      <c r="L373" s="75"/>
      <c r="M373" s="142"/>
      <c r="N373" s="75"/>
      <c r="O373" s="75"/>
      <c r="Q373"/>
      <c r="R373"/>
      <c r="S373"/>
    </row>
    <row r="374" spans="1:19" ht="12.75" customHeight="1" x14ac:dyDescent="0.4">
      <c r="A374" s="73"/>
      <c r="B374" s="87"/>
      <c r="C374" s="86"/>
      <c r="D374" s="86"/>
      <c r="E374" s="87"/>
      <c r="F374" s="72"/>
      <c r="G374" s="75"/>
      <c r="H374" s="75"/>
      <c r="I374" s="75"/>
      <c r="J374" s="75"/>
      <c r="K374" s="75"/>
      <c r="L374" s="75"/>
      <c r="M374" s="73"/>
      <c r="N374" s="168"/>
      <c r="O374" s="75"/>
      <c r="P374" s="53"/>
    </row>
    <row r="375" spans="1:19" ht="12.75" customHeight="1" x14ac:dyDescent="0.4">
      <c r="A375" s="73" t="s">
        <v>367</v>
      </c>
      <c r="B375" s="72"/>
      <c r="C375" s="72"/>
      <c r="D375" s="72"/>
      <c r="E375" s="72"/>
      <c r="F375" s="72"/>
      <c r="G375" s="72"/>
      <c r="H375" s="72"/>
      <c r="I375" s="72"/>
      <c r="J375" s="72"/>
      <c r="K375" s="75"/>
      <c r="L375" s="75"/>
      <c r="M375" s="73"/>
      <c r="N375" s="168"/>
      <c r="O375" s="75"/>
      <c r="P375" s="72"/>
      <c r="S375" s="53"/>
    </row>
    <row r="376" spans="1:19" ht="12.75" customHeight="1" x14ac:dyDescent="0.4">
      <c r="A376" s="73" t="s">
        <v>373</v>
      </c>
      <c r="B376" s="72"/>
      <c r="C376" s="72"/>
      <c r="D376" s="72"/>
      <c r="E376" s="72"/>
      <c r="F376" s="72"/>
      <c r="G376" s="72"/>
      <c r="H376" s="72"/>
      <c r="I376" s="72"/>
      <c r="J376" s="72"/>
      <c r="K376" s="75"/>
      <c r="L376" s="75"/>
      <c r="M376" s="73"/>
      <c r="N376" s="168"/>
      <c r="O376" s="75"/>
      <c r="P376" s="72"/>
      <c r="S376" s="53"/>
    </row>
    <row r="377" spans="1:19" ht="12.75" customHeight="1" x14ac:dyDescent="0.4">
      <c r="A377" s="73" t="s">
        <v>374</v>
      </c>
      <c r="B377" s="72"/>
      <c r="C377" s="72"/>
      <c r="D377" s="72"/>
      <c r="E377" s="72"/>
      <c r="F377" s="72"/>
      <c r="G377" s="72"/>
      <c r="H377" s="72"/>
      <c r="I377" s="72"/>
      <c r="J377" s="72"/>
      <c r="K377" s="72"/>
      <c r="L377" s="75"/>
      <c r="M377" s="73"/>
      <c r="N377" s="168"/>
      <c r="O377" s="75"/>
      <c r="P377" s="72"/>
      <c r="S377" s="53"/>
    </row>
    <row r="378" spans="1:19" ht="12.75" customHeight="1" x14ac:dyDescent="0.4">
      <c r="A378" s="73"/>
      <c r="B378" s="72" t="s">
        <v>141</v>
      </c>
      <c r="C378" s="72"/>
      <c r="D378" s="72"/>
      <c r="E378" s="72"/>
      <c r="F378" s="86"/>
      <c r="G378" s="72" t="s">
        <v>148</v>
      </c>
      <c r="H378" s="72"/>
      <c r="I378" s="72"/>
      <c r="J378" s="72"/>
      <c r="K378" s="72"/>
      <c r="L378" s="72"/>
      <c r="M378" s="6" t="s">
        <v>367</v>
      </c>
      <c r="N378" s="6"/>
      <c r="O378" s="6"/>
      <c r="P378" s="72"/>
      <c r="Q378" s="53"/>
      <c r="R378" s="53"/>
      <c r="S378" s="53"/>
    </row>
    <row r="379" spans="1:19" ht="13.15" x14ac:dyDescent="0.4">
      <c r="A379" s="73" t="s">
        <v>137</v>
      </c>
      <c r="B379" s="74" t="s">
        <v>113</v>
      </c>
      <c r="C379" s="74" t="s">
        <v>114</v>
      </c>
      <c r="D379" s="74" t="s">
        <v>115</v>
      </c>
      <c r="E379" s="74" t="s">
        <v>116</v>
      </c>
      <c r="F379" s="86"/>
      <c r="G379" s="74" t="s">
        <v>113</v>
      </c>
      <c r="H379" s="74" t="s">
        <v>114</v>
      </c>
      <c r="I379" s="74" t="s">
        <v>115</v>
      </c>
      <c r="J379" s="74" t="s">
        <v>116</v>
      </c>
      <c r="K379" s="72"/>
      <c r="L379" s="72"/>
      <c r="M379" s="6" t="s">
        <v>369</v>
      </c>
      <c r="N379" s="139"/>
      <c r="O379" s="140"/>
      <c r="Q379" s="53"/>
      <c r="R379" s="53"/>
    </row>
    <row r="380" spans="1:19" ht="12.75" customHeight="1" x14ac:dyDescent="0.4">
      <c r="A380" s="73" t="s">
        <v>128</v>
      </c>
      <c r="B380" s="86">
        <v>32</v>
      </c>
      <c r="C380" s="86">
        <v>24</v>
      </c>
      <c r="D380" s="86">
        <v>6</v>
      </c>
      <c r="E380" s="86">
        <v>2</v>
      </c>
      <c r="F380" s="86"/>
      <c r="G380" s="75">
        <v>1</v>
      </c>
      <c r="H380" s="75">
        <v>0.75</v>
      </c>
      <c r="I380" s="75">
        <v>0.1875</v>
      </c>
      <c r="J380" s="75">
        <v>6.25E-2</v>
      </c>
      <c r="K380" s="74"/>
      <c r="L380" s="74"/>
      <c r="M380" s="6" t="s">
        <v>254</v>
      </c>
      <c r="N380" s="6"/>
      <c r="O380" s="6"/>
      <c r="Q380" s="72"/>
      <c r="R380" s="72"/>
    </row>
    <row r="381" spans="1:19" ht="12.75" customHeight="1" x14ac:dyDescent="0.4">
      <c r="A381" s="73" t="s">
        <v>129</v>
      </c>
      <c r="B381" s="86">
        <v>25</v>
      </c>
      <c r="C381" s="86">
        <v>20</v>
      </c>
      <c r="D381" s="86">
        <v>1</v>
      </c>
      <c r="E381" s="86">
        <v>4</v>
      </c>
      <c r="F381" s="86"/>
      <c r="G381" s="75">
        <v>1</v>
      </c>
      <c r="H381" s="75">
        <v>0.8</v>
      </c>
      <c r="I381" s="75">
        <v>0.04</v>
      </c>
      <c r="J381" s="75">
        <v>0.16</v>
      </c>
      <c r="K381" s="75"/>
      <c r="L381" s="75"/>
      <c r="M381" s="6" t="s">
        <v>205</v>
      </c>
      <c r="N381" s="139">
        <v>498</v>
      </c>
      <c r="O381" s="141" t="s">
        <v>206</v>
      </c>
      <c r="Q381" s="72"/>
      <c r="R381" s="72"/>
    </row>
    <row r="382" spans="1:19" ht="12.75" customHeight="1" x14ac:dyDescent="0.4">
      <c r="A382" s="73" t="s">
        <v>130</v>
      </c>
      <c r="B382" s="86">
        <v>69</v>
      </c>
      <c r="C382" s="86">
        <v>53</v>
      </c>
      <c r="D382" s="86">
        <v>10</v>
      </c>
      <c r="E382" s="86">
        <v>6</v>
      </c>
      <c r="F382" s="86"/>
      <c r="G382" s="75">
        <v>1</v>
      </c>
      <c r="H382" s="75">
        <v>0.76811594202898548</v>
      </c>
      <c r="I382" s="75">
        <v>0.14492753623188406</v>
      </c>
      <c r="J382" s="75">
        <v>8.6956521739130432E-2</v>
      </c>
      <c r="K382" s="75"/>
      <c r="L382" s="75"/>
      <c r="M382" s="6" t="s">
        <v>370</v>
      </c>
      <c r="N382" s="139">
        <v>305</v>
      </c>
      <c r="O382" s="140">
        <v>0.6124497991967871</v>
      </c>
      <c r="Q382" s="72"/>
      <c r="R382" s="72"/>
    </row>
    <row r="383" spans="1:19" ht="12.75" customHeight="1" x14ac:dyDescent="0.4">
      <c r="A383" s="73" t="s">
        <v>131</v>
      </c>
      <c r="B383" s="86">
        <v>82</v>
      </c>
      <c r="C383" s="86">
        <v>58</v>
      </c>
      <c r="D383" s="86">
        <v>15</v>
      </c>
      <c r="E383" s="86">
        <v>9</v>
      </c>
      <c r="F383" s="86"/>
      <c r="G383" s="75">
        <v>0.97619047619047616</v>
      </c>
      <c r="H383" s="75">
        <v>0.70731707317073167</v>
      </c>
      <c r="I383" s="75">
        <v>0.18292682926829268</v>
      </c>
      <c r="J383" s="75">
        <v>0.10975609756097561</v>
      </c>
      <c r="K383" s="75"/>
      <c r="L383" s="75"/>
      <c r="M383" s="6" t="s">
        <v>230</v>
      </c>
      <c r="N383" s="139">
        <v>75</v>
      </c>
      <c r="O383" s="140">
        <v>0.15060240963855423</v>
      </c>
      <c r="Q383" s="72"/>
      <c r="R383" s="72"/>
    </row>
    <row r="384" spans="1:19" ht="12.75" customHeight="1" x14ac:dyDescent="0.4">
      <c r="A384" s="73" t="s">
        <v>132</v>
      </c>
      <c r="B384" s="86">
        <v>33</v>
      </c>
      <c r="C384" s="86">
        <v>23</v>
      </c>
      <c r="D384" s="86">
        <v>5</v>
      </c>
      <c r="E384" s="86">
        <v>5</v>
      </c>
      <c r="F384" s="86"/>
      <c r="G384" s="75">
        <v>0.97058823529411764</v>
      </c>
      <c r="H384" s="75">
        <v>0.69696969696969702</v>
      </c>
      <c r="I384" s="75">
        <v>0.15151515151515152</v>
      </c>
      <c r="J384" s="75">
        <v>0.15151515151515152</v>
      </c>
      <c r="K384" s="75"/>
      <c r="L384" s="75"/>
      <c r="M384" s="6" t="s">
        <v>371</v>
      </c>
      <c r="N384" s="139">
        <v>184</v>
      </c>
      <c r="O384" s="140">
        <v>0.36947791164658633</v>
      </c>
      <c r="P384" s="82"/>
    </row>
    <row r="385" spans="1:19" ht="12.75" customHeight="1" x14ac:dyDescent="0.4">
      <c r="A385" s="73" t="s">
        <v>133</v>
      </c>
      <c r="B385" s="86">
        <v>61</v>
      </c>
      <c r="C385" s="86">
        <v>51</v>
      </c>
      <c r="D385" s="86">
        <v>5</v>
      </c>
      <c r="E385" s="86">
        <v>5</v>
      </c>
      <c r="F385" s="86"/>
      <c r="G385" s="75">
        <v>0.9838709677419355</v>
      </c>
      <c r="H385" s="75">
        <v>0.83606557377049184</v>
      </c>
      <c r="I385" s="75">
        <v>8.1967213114754092E-2</v>
      </c>
      <c r="J385" s="75">
        <v>8.1967213114754092E-2</v>
      </c>
      <c r="K385" s="75"/>
      <c r="L385" s="75"/>
      <c r="M385" s="6" t="s">
        <v>231</v>
      </c>
      <c r="N385" s="139">
        <v>34</v>
      </c>
      <c r="O385" s="140">
        <v>6.8273092369477914E-2</v>
      </c>
    </row>
    <row r="386" spans="1:19" ht="12.75" customHeight="1" x14ac:dyDescent="0.4">
      <c r="A386" s="73" t="s">
        <v>134</v>
      </c>
      <c r="B386" s="86">
        <v>67</v>
      </c>
      <c r="C386" s="86">
        <v>53</v>
      </c>
      <c r="D386" s="86">
        <v>10</v>
      </c>
      <c r="E386" s="86">
        <v>4</v>
      </c>
      <c r="F386" s="87"/>
      <c r="G386" s="75">
        <v>1</v>
      </c>
      <c r="H386" s="75">
        <v>0.79104477611940294</v>
      </c>
      <c r="I386" s="75">
        <v>0.14925373134328357</v>
      </c>
      <c r="J386" s="75">
        <v>5.9701492537313432E-2</v>
      </c>
      <c r="K386" s="75"/>
      <c r="L386" s="75"/>
      <c r="M386" s="6"/>
      <c r="N386" s="139"/>
      <c r="O386" s="140"/>
    </row>
    <row r="387" spans="1:19" ht="12.75" customHeight="1" x14ac:dyDescent="0.4">
      <c r="A387" s="73" t="s">
        <v>135</v>
      </c>
      <c r="B387" s="86">
        <v>67</v>
      </c>
      <c r="C387" s="86">
        <v>58</v>
      </c>
      <c r="D387" s="86">
        <v>6</v>
      </c>
      <c r="E387" s="86">
        <v>3</v>
      </c>
      <c r="F387" s="87"/>
      <c r="G387" s="75">
        <v>0.98529411764705888</v>
      </c>
      <c r="H387" s="75">
        <v>0.86567164179104472</v>
      </c>
      <c r="I387" s="75">
        <v>8.9552238805970144E-2</v>
      </c>
      <c r="J387" s="75">
        <v>4.4776119402985072E-2</v>
      </c>
      <c r="K387" s="75"/>
      <c r="L387" s="75"/>
      <c r="M387" s="6"/>
      <c r="N387" s="139"/>
      <c r="O387" s="140"/>
    </row>
    <row r="388" spans="1:19" ht="12.75" customHeight="1" x14ac:dyDescent="0.4">
      <c r="A388" s="73" t="s">
        <v>382</v>
      </c>
      <c r="B388" s="86">
        <v>3</v>
      </c>
      <c r="C388" s="86">
        <v>1</v>
      </c>
      <c r="D388" s="86">
        <v>2</v>
      </c>
      <c r="E388" s="86">
        <v>0</v>
      </c>
      <c r="F388" s="87"/>
      <c r="G388" s="75">
        <v>1</v>
      </c>
      <c r="H388" s="75">
        <v>0.33333333333333331</v>
      </c>
      <c r="I388" s="75">
        <v>0.66666666666666663</v>
      </c>
      <c r="J388" s="75">
        <v>0</v>
      </c>
      <c r="K388" s="75"/>
      <c r="L388" s="75"/>
      <c r="M388" s="6"/>
      <c r="N388" s="139"/>
      <c r="O388" s="140"/>
    </row>
    <row r="389" spans="1:19" ht="12.75" customHeight="1" x14ac:dyDescent="0.4">
      <c r="A389" s="73" t="s">
        <v>136</v>
      </c>
      <c r="B389" s="86">
        <v>28</v>
      </c>
      <c r="C389" s="86">
        <v>20</v>
      </c>
      <c r="D389" s="86">
        <v>6</v>
      </c>
      <c r="E389" s="86">
        <v>2</v>
      </c>
      <c r="F389" s="87"/>
      <c r="G389" s="75">
        <v>1</v>
      </c>
      <c r="H389" s="75">
        <v>0.7142857142857143</v>
      </c>
      <c r="I389" s="75">
        <v>0.21428571428571427</v>
      </c>
      <c r="J389" s="75">
        <v>7.1428571428571425E-2</v>
      </c>
      <c r="K389" s="75"/>
      <c r="L389" s="75"/>
      <c r="M389" s="6"/>
      <c r="N389" s="75"/>
      <c r="O389" s="75"/>
    </row>
    <row r="390" spans="1:19" s="53" customFormat="1" ht="12.75" customHeight="1" x14ac:dyDescent="0.4">
      <c r="A390" s="73" t="s">
        <v>308</v>
      </c>
      <c r="B390" s="86">
        <v>33</v>
      </c>
      <c r="C390" s="86">
        <v>14</v>
      </c>
      <c r="D390" s="86">
        <v>16</v>
      </c>
      <c r="E390" s="86">
        <v>3</v>
      </c>
      <c r="F390" s="87"/>
      <c r="G390" s="75">
        <v>1</v>
      </c>
      <c r="H390" s="75">
        <v>0.42424242424242425</v>
      </c>
      <c r="I390" s="75">
        <v>0.48484848484848486</v>
      </c>
      <c r="J390" s="75">
        <v>9.0909090909090912E-2</v>
      </c>
      <c r="K390" s="75"/>
      <c r="L390" s="75"/>
      <c r="M390" s="6"/>
      <c r="N390" s="75"/>
      <c r="O390" s="75"/>
      <c r="P390"/>
      <c r="Q390"/>
      <c r="R390"/>
      <c r="S390"/>
    </row>
    <row r="391" spans="1:19" s="53" customFormat="1" ht="12.75" customHeight="1" x14ac:dyDescent="0.4">
      <c r="A391" s="73" t="s">
        <v>24</v>
      </c>
      <c r="B391" s="87">
        <v>500</v>
      </c>
      <c r="C391" s="86">
        <v>375</v>
      </c>
      <c r="D391" s="86">
        <v>82</v>
      </c>
      <c r="E391" s="87">
        <v>43</v>
      </c>
      <c r="F391" s="72"/>
      <c r="G391" s="75">
        <v>0.99009900990099009</v>
      </c>
      <c r="H391" s="75">
        <v>0.75</v>
      </c>
      <c r="I391" s="75">
        <v>0.16400000000000001</v>
      </c>
      <c r="J391" s="75">
        <v>8.5999999999999993E-2</v>
      </c>
      <c r="K391" s="75"/>
      <c r="L391" s="75"/>
      <c r="M391" s="73"/>
      <c r="N391" s="168"/>
      <c r="O391" s="75"/>
      <c r="P391"/>
      <c r="Q391"/>
      <c r="R391"/>
      <c r="S391"/>
    </row>
    <row r="392" spans="1:19" s="53" customFormat="1" ht="12.75" customHeight="1" x14ac:dyDescent="0.4">
      <c r="A392" s="73" t="s">
        <v>358</v>
      </c>
      <c r="B392" s="72"/>
      <c r="C392" s="72"/>
      <c r="D392" s="72"/>
      <c r="E392" s="72"/>
      <c r="F392" s="72"/>
      <c r="G392" s="72"/>
      <c r="H392" s="72"/>
      <c r="I392" s="72"/>
      <c r="J392" s="72"/>
      <c r="K392" s="75"/>
      <c r="L392" s="75"/>
      <c r="M392" s="73"/>
      <c r="N392" s="168"/>
      <c r="O392" s="75"/>
      <c r="P392"/>
      <c r="Q392"/>
      <c r="R392"/>
      <c r="S392"/>
    </row>
    <row r="393" spans="1:19" s="53" customFormat="1" ht="12.75" customHeight="1" x14ac:dyDescent="0.4">
      <c r="A393" s="73" t="s">
        <v>355</v>
      </c>
      <c r="B393" s="72"/>
      <c r="C393" s="72"/>
      <c r="D393" s="72"/>
      <c r="E393" s="72"/>
      <c r="F393" s="72"/>
      <c r="G393" s="72"/>
      <c r="H393" s="72"/>
      <c r="I393" s="72"/>
      <c r="J393" s="72"/>
      <c r="K393" s="75"/>
      <c r="L393" s="75"/>
      <c r="M393" s="6"/>
      <c r="N393" s="6"/>
      <c r="O393" s="6"/>
      <c r="Q393"/>
      <c r="R393"/>
      <c r="S393"/>
    </row>
    <row r="394" spans="1:19" ht="12.75" customHeight="1" x14ac:dyDescent="0.4">
      <c r="A394" s="73" t="s">
        <v>366</v>
      </c>
      <c r="B394" s="72"/>
      <c r="C394" s="72"/>
      <c r="D394" s="72"/>
      <c r="E394" s="72"/>
      <c r="F394" s="72"/>
      <c r="G394" s="72"/>
      <c r="H394" s="72"/>
      <c r="I394" s="72"/>
      <c r="J394" s="72"/>
      <c r="K394" s="75"/>
      <c r="L394" s="75"/>
      <c r="M394" s="6"/>
      <c r="N394" s="6"/>
      <c r="O394" s="6"/>
      <c r="P394" s="53"/>
    </row>
    <row r="395" spans="1:19" ht="12.75" customHeight="1" x14ac:dyDescent="0.4">
      <c r="A395" s="73"/>
      <c r="B395" s="72" t="s">
        <v>141</v>
      </c>
      <c r="C395" s="72"/>
      <c r="D395" s="72"/>
      <c r="E395" s="72"/>
      <c r="F395" s="86"/>
      <c r="G395" s="72" t="s">
        <v>148</v>
      </c>
      <c r="H395" s="72"/>
      <c r="I395" s="72"/>
      <c r="J395" s="72"/>
      <c r="K395" s="75"/>
      <c r="L395" s="75"/>
      <c r="M395" s="6" t="s">
        <v>358</v>
      </c>
      <c r="N395" s="6"/>
      <c r="O395" s="6"/>
      <c r="P395" s="72"/>
      <c r="S395" s="53"/>
    </row>
    <row r="396" spans="1:19" ht="12.75" customHeight="1" x14ac:dyDescent="0.4">
      <c r="A396" s="73" t="s">
        <v>137</v>
      </c>
      <c r="B396" s="74" t="s">
        <v>113</v>
      </c>
      <c r="C396" s="74" t="s">
        <v>114</v>
      </c>
      <c r="D396" s="74" t="s">
        <v>115</v>
      </c>
      <c r="E396" s="74" t="s">
        <v>116</v>
      </c>
      <c r="F396" s="86"/>
      <c r="G396" s="74" t="s">
        <v>113</v>
      </c>
      <c r="H396" s="74" t="s">
        <v>114</v>
      </c>
      <c r="I396" s="74" t="s">
        <v>115</v>
      </c>
      <c r="J396" s="74" t="s">
        <v>116</v>
      </c>
      <c r="K396" s="72"/>
      <c r="L396" s="75"/>
      <c r="M396" s="6" t="s">
        <v>361</v>
      </c>
      <c r="N396" s="139"/>
      <c r="O396" s="140"/>
      <c r="P396" s="72"/>
      <c r="S396" s="53"/>
    </row>
    <row r="397" spans="1:19" ht="12.75" customHeight="1" x14ac:dyDescent="0.4">
      <c r="A397" s="73" t="s">
        <v>128</v>
      </c>
      <c r="B397" s="86">
        <v>32</v>
      </c>
      <c r="C397" s="86">
        <v>23</v>
      </c>
      <c r="D397" s="86">
        <v>8</v>
      </c>
      <c r="E397" s="86">
        <v>1</v>
      </c>
      <c r="F397" s="86"/>
      <c r="G397" s="75">
        <f>B397/32</f>
        <v>1</v>
      </c>
      <c r="H397" s="75">
        <f>C397/B397</f>
        <v>0.71875</v>
      </c>
      <c r="I397" s="75">
        <f>D397/B397</f>
        <v>0.25</v>
      </c>
      <c r="J397" s="75">
        <f>E397/B397</f>
        <v>3.125E-2</v>
      </c>
      <c r="K397" s="72"/>
      <c r="L397" s="72"/>
      <c r="M397" s="6" t="s">
        <v>254</v>
      </c>
      <c r="N397" s="6"/>
      <c r="O397" s="6"/>
      <c r="P397" s="72"/>
      <c r="S397" s="53"/>
    </row>
    <row r="398" spans="1:19" ht="12.75" customHeight="1" x14ac:dyDescent="0.4">
      <c r="A398" s="73" t="s">
        <v>129</v>
      </c>
      <c r="B398" s="86">
        <v>25</v>
      </c>
      <c r="C398" s="86">
        <v>18</v>
      </c>
      <c r="D398" s="86">
        <v>4</v>
      </c>
      <c r="E398" s="86">
        <v>3</v>
      </c>
      <c r="F398" s="86"/>
      <c r="G398" s="75">
        <f>B398/25</f>
        <v>1</v>
      </c>
      <c r="H398" s="75">
        <f t="shared" ref="H398:H407" si="15">C398/B398</f>
        <v>0.72</v>
      </c>
      <c r="I398" s="75">
        <f t="shared" ref="I398:I408" si="16">D398/B398</f>
        <v>0.16</v>
      </c>
      <c r="J398" s="75">
        <f t="shared" ref="J398:J408" si="17">E398/B398</f>
        <v>0.12</v>
      </c>
      <c r="K398" s="72"/>
      <c r="L398" s="72"/>
      <c r="M398" s="6" t="s">
        <v>205</v>
      </c>
      <c r="N398" s="76">
        <v>499</v>
      </c>
      <c r="O398" s="141" t="s">
        <v>206</v>
      </c>
      <c r="Q398" s="53"/>
      <c r="R398" s="53"/>
      <c r="S398" s="53"/>
    </row>
    <row r="399" spans="1:19" ht="12.75" customHeight="1" x14ac:dyDescent="0.4">
      <c r="A399" s="73" t="s">
        <v>130</v>
      </c>
      <c r="B399" s="86">
        <v>68</v>
      </c>
      <c r="C399" s="86">
        <v>51</v>
      </c>
      <c r="D399" s="86">
        <v>9</v>
      </c>
      <c r="E399" s="86">
        <v>8</v>
      </c>
      <c r="F399" s="86"/>
      <c r="G399" s="75">
        <f>B399/68</f>
        <v>1</v>
      </c>
      <c r="H399" s="75">
        <f t="shared" si="15"/>
        <v>0.75</v>
      </c>
      <c r="I399" s="75">
        <f t="shared" si="16"/>
        <v>0.13235294117647059</v>
      </c>
      <c r="J399" s="75">
        <f t="shared" si="17"/>
        <v>0.11764705882352941</v>
      </c>
      <c r="K399" s="74"/>
      <c r="L399" s="74"/>
      <c r="M399" s="6" t="s">
        <v>359</v>
      </c>
      <c r="N399" s="139">
        <v>291</v>
      </c>
      <c r="O399" s="140">
        <f>N399/N398</f>
        <v>0.58316633266533069</v>
      </c>
      <c r="Q399" s="53"/>
      <c r="R399" s="53"/>
    </row>
    <row r="400" spans="1:19" ht="12.75" customHeight="1" x14ac:dyDescent="0.4">
      <c r="A400" s="73" t="s">
        <v>131</v>
      </c>
      <c r="B400" s="86">
        <v>82</v>
      </c>
      <c r="C400" s="86">
        <v>57</v>
      </c>
      <c r="D400" s="86">
        <v>17</v>
      </c>
      <c r="E400" s="86">
        <v>8</v>
      </c>
      <c r="F400" s="86"/>
      <c r="G400" s="75">
        <f>B400/83</f>
        <v>0.98795180722891562</v>
      </c>
      <c r="H400" s="75">
        <f t="shared" si="15"/>
        <v>0.69512195121951215</v>
      </c>
      <c r="I400" s="75">
        <f t="shared" si="16"/>
        <v>0.2073170731707317</v>
      </c>
      <c r="J400" s="75">
        <f t="shared" si="17"/>
        <v>9.7560975609756101E-2</v>
      </c>
      <c r="K400" s="75"/>
      <c r="L400" s="75"/>
      <c r="M400" s="6" t="s">
        <v>230</v>
      </c>
      <c r="N400" s="139">
        <v>71</v>
      </c>
      <c r="O400" s="140">
        <f>N400/N398</f>
        <v>0.14228456913827656</v>
      </c>
      <c r="Q400" s="72"/>
      <c r="R400" s="72"/>
    </row>
    <row r="401" spans="1:19" ht="12.75" customHeight="1" x14ac:dyDescent="0.4">
      <c r="A401" s="73" t="s">
        <v>132</v>
      </c>
      <c r="B401" s="86">
        <v>34</v>
      </c>
      <c r="C401" s="86">
        <v>26</v>
      </c>
      <c r="D401" s="86">
        <v>6</v>
      </c>
      <c r="E401" s="86">
        <v>2</v>
      </c>
      <c r="F401" s="86"/>
      <c r="G401" s="75">
        <f>B401/34</f>
        <v>1</v>
      </c>
      <c r="H401" s="75">
        <f t="shared" si="15"/>
        <v>0.76470588235294112</v>
      </c>
      <c r="I401" s="75">
        <f t="shared" si="16"/>
        <v>0.17647058823529413</v>
      </c>
      <c r="J401" s="75">
        <f t="shared" si="17"/>
        <v>5.8823529411764705E-2</v>
      </c>
      <c r="K401" s="75"/>
      <c r="L401" s="75"/>
      <c r="M401" s="6" t="s">
        <v>360</v>
      </c>
      <c r="N401" s="139">
        <v>201</v>
      </c>
      <c r="O401" s="140">
        <f>N401/N398</f>
        <v>0.4028056112224449</v>
      </c>
      <c r="Q401" s="72"/>
      <c r="R401" s="72"/>
    </row>
    <row r="402" spans="1:19" ht="12.75" customHeight="1" x14ac:dyDescent="0.4">
      <c r="A402" s="73" t="s">
        <v>133</v>
      </c>
      <c r="B402" s="86">
        <v>62</v>
      </c>
      <c r="C402" s="86">
        <v>45</v>
      </c>
      <c r="D402" s="86">
        <v>11</v>
      </c>
      <c r="E402" s="86">
        <v>6</v>
      </c>
      <c r="F402" s="86"/>
      <c r="G402" s="75">
        <f>B402/62</f>
        <v>1</v>
      </c>
      <c r="H402" s="75">
        <f t="shared" si="15"/>
        <v>0.72580645161290325</v>
      </c>
      <c r="I402" s="75">
        <f t="shared" si="16"/>
        <v>0.17741935483870969</v>
      </c>
      <c r="J402" s="75">
        <f t="shared" si="17"/>
        <v>9.6774193548387094E-2</v>
      </c>
      <c r="K402" s="75"/>
      <c r="L402" s="75"/>
      <c r="M402" s="6" t="s">
        <v>231</v>
      </c>
      <c r="N402" s="139">
        <v>43</v>
      </c>
      <c r="O402" s="140">
        <f>N402/N398</f>
        <v>8.617234468937876E-2</v>
      </c>
      <c r="Q402" s="72"/>
      <c r="R402" s="72"/>
    </row>
    <row r="403" spans="1:19" ht="12.75" customHeight="1" x14ac:dyDescent="0.4">
      <c r="A403" s="73" t="s">
        <v>134</v>
      </c>
      <c r="B403" s="86">
        <v>67</v>
      </c>
      <c r="C403" s="86">
        <v>51</v>
      </c>
      <c r="D403" s="86">
        <v>12</v>
      </c>
      <c r="E403" s="86">
        <v>4</v>
      </c>
      <c r="F403" s="87"/>
      <c r="G403" s="75">
        <f>B403/67</f>
        <v>1</v>
      </c>
      <c r="H403" s="75">
        <f t="shared" si="15"/>
        <v>0.76119402985074625</v>
      </c>
      <c r="I403" s="75">
        <f t="shared" si="16"/>
        <v>0.17910447761194029</v>
      </c>
      <c r="J403" s="75">
        <f t="shared" si="17"/>
        <v>5.9701492537313432E-2</v>
      </c>
      <c r="K403" s="75"/>
      <c r="L403" s="75"/>
      <c r="M403" s="6"/>
      <c r="N403" s="139"/>
      <c r="O403" s="140"/>
      <c r="P403" s="72"/>
    </row>
    <row r="404" spans="1:19" ht="12.75" customHeight="1" x14ac:dyDescent="0.4">
      <c r="A404" s="73" t="s">
        <v>135</v>
      </c>
      <c r="B404" s="86">
        <v>68</v>
      </c>
      <c r="C404" s="86">
        <v>61</v>
      </c>
      <c r="D404" s="86">
        <v>3</v>
      </c>
      <c r="E404" s="86">
        <v>4</v>
      </c>
      <c r="F404" s="87"/>
      <c r="G404" s="75">
        <f>B404/69</f>
        <v>0.98550724637681164</v>
      </c>
      <c r="H404" s="75">
        <f t="shared" si="15"/>
        <v>0.8970588235294118</v>
      </c>
      <c r="I404" s="75">
        <f t="shared" si="16"/>
        <v>4.4117647058823532E-2</v>
      </c>
      <c r="J404" s="75">
        <f t="shared" si="17"/>
        <v>5.8823529411764705E-2</v>
      </c>
      <c r="K404" s="75"/>
      <c r="L404" s="75"/>
      <c r="M404" s="6"/>
      <c r="N404" s="139"/>
      <c r="O404" s="140"/>
    </row>
    <row r="405" spans="1:19" ht="12.75" customHeight="1" x14ac:dyDescent="0.4">
      <c r="A405" s="73" t="s">
        <v>382</v>
      </c>
      <c r="B405" s="86">
        <v>4</v>
      </c>
      <c r="C405" s="86">
        <v>2</v>
      </c>
      <c r="D405" s="86">
        <v>1</v>
      </c>
      <c r="E405" s="86">
        <v>1</v>
      </c>
      <c r="F405" s="87"/>
      <c r="G405" s="75">
        <f>B405/4</f>
        <v>1</v>
      </c>
      <c r="H405" s="75">
        <f t="shared" si="15"/>
        <v>0.5</v>
      </c>
      <c r="I405" s="75">
        <f t="shared" si="16"/>
        <v>0.25</v>
      </c>
      <c r="J405" s="75">
        <f t="shared" si="17"/>
        <v>0.25</v>
      </c>
      <c r="K405" s="75"/>
      <c r="L405" s="75"/>
      <c r="M405" s="6"/>
      <c r="N405" s="75"/>
      <c r="O405" s="75"/>
    </row>
    <row r="406" spans="1:19" ht="12.75" customHeight="1" x14ac:dyDescent="0.4">
      <c r="A406" s="73" t="s">
        <v>136</v>
      </c>
      <c r="B406" s="86">
        <v>28</v>
      </c>
      <c r="C406" s="86">
        <v>14</v>
      </c>
      <c r="D406" s="86">
        <v>12</v>
      </c>
      <c r="E406" s="86">
        <v>2</v>
      </c>
      <c r="F406" s="87"/>
      <c r="G406" s="75">
        <f>B406/28</f>
        <v>1</v>
      </c>
      <c r="H406" s="75">
        <f t="shared" si="15"/>
        <v>0.5</v>
      </c>
      <c r="I406" s="75">
        <f t="shared" si="16"/>
        <v>0.42857142857142855</v>
      </c>
      <c r="J406" s="75">
        <f t="shared" si="17"/>
        <v>7.1428571428571425E-2</v>
      </c>
      <c r="K406" s="75"/>
      <c r="L406" s="75"/>
      <c r="M406" s="6"/>
      <c r="N406" s="75"/>
      <c r="O406" s="75"/>
    </row>
    <row r="407" spans="1:19" ht="12.75" customHeight="1" x14ac:dyDescent="0.4">
      <c r="A407" s="73" t="s">
        <v>308</v>
      </c>
      <c r="B407" s="86">
        <v>33</v>
      </c>
      <c r="C407" s="86">
        <v>17</v>
      </c>
      <c r="D407" s="86">
        <v>13</v>
      </c>
      <c r="E407" s="86">
        <v>3</v>
      </c>
      <c r="F407" s="87"/>
      <c r="G407" s="75">
        <f>B407/33</f>
        <v>1</v>
      </c>
      <c r="H407" s="75">
        <f t="shared" si="15"/>
        <v>0.51515151515151514</v>
      </c>
      <c r="I407" s="75">
        <f t="shared" si="16"/>
        <v>0.39393939393939392</v>
      </c>
      <c r="J407" s="75">
        <f t="shared" si="17"/>
        <v>9.0909090909090912E-2</v>
      </c>
      <c r="K407" s="75"/>
      <c r="L407" s="75"/>
      <c r="M407" s="73"/>
      <c r="N407" s="168"/>
      <c r="O407" s="75"/>
    </row>
    <row r="408" spans="1:19" ht="12.75" customHeight="1" x14ac:dyDescent="0.4">
      <c r="A408" s="73" t="s">
        <v>24</v>
      </c>
      <c r="B408" s="87">
        <v>503</v>
      </c>
      <c r="C408" s="86">
        <v>365</v>
      </c>
      <c r="D408" s="86">
        <v>96</v>
      </c>
      <c r="E408" s="87">
        <v>42</v>
      </c>
      <c r="F408" s="72"/>
      <c r="G408" s="75">
        <f>B408/505</f>
        <v>0.99603960396039604</v>
      </c>
      <c r="H408" s="75">
        <f>C408/B408</f>
        <v>0.72564612326043743</v>
      </c>
      <c r="I408" s="75">
        <f t="shared" si="16"/>
        <v>0.19085487077534791</v>
      </c>
      <c r="J408" s="75">
        <f t="shared" si="17"/>
        <v>8.3499005964214709E-2</v>
      </c>
      <c r="K408" s="75"/>
      <c r="L408" s="75"/>
      <c r="M408" s="73"/>
      <c r="N408" s="168"/>
      <c r="O408" s="75"/>
    </row>
    <row r="409" spans="1:19" s="53" customFormat="1" ht="12.75" customHeight="1" x14ac:dyDescent="0.4">
      <c r="A409" s="73"/>
      <c r="B409" s="87"/>
      <c r="C409" s="86"/>
      <c r="D409" s="86"/>
      <c r="E409" s="87"/>
      <c r="F409" s="72"/>
      <c r="G409" s="75"/>
      <c r="H409" s="75"/>
      <c r="I409" s="75"/>
      <c r="J409" s="75"/>
      <c r="K409" s="75"/>
      <c r="L409" s="75"/>
      <c r="M409" s="73"/>
      <c r="N409" s="168"/>
      <c r="O409" s="75"/>
      <c r="P409"/>
      <c r="Q409"/>
      <c r="R409"/>
      <c r="S409"/>
    </row>
    <row r="410" spans="1:19" s="53" customFormat="1" ht="12.75" customHeight="1" x14ac:dyDescent="0.4">
      <c r="A410" s="73"/>
      <c r="B410" s="87"/>
      <c r="C410" s="86"/>
      <c r="D410" s="86"/>
      <c r="E410" s="87"/>
      <c r="F410" s="72"/>
      <c r="G410" s="75"/>
      <c r="H410" s="75"/>
      <c r="I410" s="75"/>
      <c r="J410" s="75"/>
      <c r="K410" s="75"/>
      <c r="L410" s="75"/>
      <c r="M410" s="73"/>
      <c r="N410" s="168"/>
      <c r="O410" s="75"/>
      <c r="P410"/>
      <c r="Q410"/>
      <c r="R410"/>
      <c r="S410"/>
    </row>
    <row r="411" spans="1:19" s="53" customFormat="1" ht="12.75" customHeight="1" x14ac:dyDescent="0.4">
      <c r="A411" s="73"/>
      <c r="B411" s="87"/>
      <c r="C411" s="86"/>
      <c r="D411" s="86"/>
      <c r="E411" s="87"/>
      <c r="F411" s="72"/>
      <c r="G411" s="75"/>
      <c r="H411" s="75"/>
      <c r="I411" s="75"/>
      <c r="J411" s="75"/>
      <c r="K411" s="75"/>
      <c r="L411" s="75"/>
      <c r="M411" s="73"/>
      <c r="N411" s="168"/>
      <c r="O411" s="75"/>
      <c r="P411"/>
      <c r="Q411"/>
      <c r="R411"/>
      <c r="S411"/>
    </row>
    <row r="412" spans="1:19" s="53" customFormat="1" ht="12.75" customHeight="1" x14ac:dyDescent="0.4">
      <c r="A412" s="73" t="s">
        <v>349</v>
      </c>
      <c r="B412" s="72"/>
      <c r="C412" s="72"/>
      <c r="D412" s="72"/>
      <c r="E412" s="72"/>
      <c r="F412" s="72"/>
      <c r="G412" s="72"/>
      <c r="H412" s="72"/>
      <c r="I412" s="72"/>
      <c r="J412" s="72"/>
      <c r="K412" s="75"/>
      <c r="L412" s="75"/>
      <c r="M412" s="6"/>
      <c r="N412" s="6"/>
      <c r="O412" s="6"/>
      <c r="Q412"/>
      <c r="R412"/>
      <c r="S412"/>
    </row>
    <row r="413" spans="1:19" ht="12.75" customHeight="1" x14ac:dyDescent="0.4">
      <c r="A413" s="73" t="s">
        <v>355</v>
      </c>
      <c r="B413" s="72"/>
      <c r="C413" s="72"/>
      <c r="D413" s="72"/>
      <c r="E413" s="72"/>
      <c r="F413" s="72"/>
      <c r="G413" s="72"/>
      <c r="H413" s="72"/>
      <c r="I413" s="72"/>
      <c r="J413" s="72"/>
      <c r="K413" s="75"/>
      <c r="L413" s="75"/>
      <c r="M413" s="6"/>
      <c r="N413" s="6"/>
      <c r="O413" s="6"/>
      <c r="P413" s="53"/>
    </row>
    <row r="414" spans="1:19" ht="12.75" customHeight="1" x14ac:dyDescent="0.4">
      <c r="A414" s="73" t="s">
        <v>357</v>
      </c>
      <c r="B414" s="72"/>
      <c r="C414" s="72"/>
      <c r="D414" s="72"/>
      <c r="E414" s="72"/>
      <c r="F414" s="72"/>
      <c r="G414" s="72"/>
      <c r="H414" s="72"/>
      <c r="I414" s="72"/>
      <c r="J414" s="72"/>
      <c r="K414" s="72"/>
      <c r="L414" s="75"/>
      <c r="M414" s="6"/>
      <c r="N414" s="6"/>
      <c r="O414" s="6"/>
      <c r="P414" s="72"/>
      <c r="S414" s="53"/>
    </row>
    <row r="415" spans="1:19" ht="12.75" customHeight="1" x14ac:dyDescent="0.4">
      <c r="A415" s="73"/>
      <c r="B415" s="72" t="s">
        <v>141</v>
      </c>
      <c r="C415" s="72"/>
      <c r="D415" s="72"/>
      <c r="E415" s="72"/>
      <c r="F415" s="86"/>
      <c r="G415" s="72" t="s">
        <v>148</v>
      </c>
      <c r="H415" s="72"/>
      <c r="I415" s="72"/>
      <c r="J415" s="72"/>
      <c r="K415" s="72"/>
      <c r="L415" s="72"/>
      <c r="M415" s="6" t="s">
        <v>349</v>
      </c>
      <c r="N415" s="6"/>
      <c r="O415" s="6"/>
      <c r="P415" s="72"/>
      <c r="S415" s="53"/>
    </row>
    <row r="416" spans="1:19" ht="12.75" customHeight="1" x14ac:dyDescent="0.4">
      <c r="A416" s="73" t="s">
        <v>137</v>
      </c>
      <c r="B416" s="74" t="s">
        <v>113</v>
      </c>
      <c r="C416" s="74" t="s">
        <v>114</v>
      </c>
      <c r="D416" s="74" t="s">
        <v>115</v>
      </c>
      <c r="E416" s="74" t="s">
        <v>116</v>
      </c>
      <c r="F416" s="86"/>
      <c r="G416" s="74" t="s">
        <v>113</v>
      </c>
      <c r="H416" s="74" t="s">
        <v>114</v>
      </c>
      <c r="I416" s="74" t="s">
        <v>115</v>
      </c>
      <c r="J416" s="74" t="s">
        <v>116</v>
      </c>
      <c r="K416" s="72"/>
      <c r="L416" s="72"/>
      <c r="M416" s="6" t="s">
        <v>356</v>
      </c>
      <c r="N416" s="139"/>
      <c r="O416" s="140"/>
      <c r="P416" s="72"/>
      <c r="S416" s="53"/>
    </row>
    <row r="417" spans="1:19" ht="12.75" customHeight="1" x14ac:dyDescent="0.4">
      <c r="A417" s="73" t="s">
        <v>128</v>
      </c>
      <c r="B417" s="86">
        <v>34</v>
      </c>
      <c r="C417" s="86">
        <v>20</v>
      </c>
      <c r="D417" s="86">
        <v>12</v>
      </c>
      <c r="E417" s="86">
        <v>2</v>
      </c>
      <c r="F417" s="86"/>
      <c r="G417" s="75">
        <f>B417/34</f>
        <v>1</v>
      </c>
      <c r="H417" s="75">
        <f>C417/B417</f>
        <v>0.58823529411764708</v>
      </c>
      <c r="I417" s="75">
        <f>D417/B417</f>
        <v>0.35294117647058826</v>
      </c>
      <c r="J417" s="75">
        <f>E417/B417</f>
        <v>5.8823529411764705E-2</v>
      </c>
      <c r="K417" s="72"/>
      <c r="L417" s="72"/>
      <c r="M417" s="6" t="s">
        <v>254</v>
      </c>
      <c r="N417" s="6"/>
      <c r="O417" s="6"/>
      <c r="Q417" s="53"/>
      <c r="R417" s="53"/>
      <c r="S417" s="53"/>
    </row>
    <row r="418" spans="1:19" ht="12.75" customHeight="1" x14ac:dyDescent="0.4">
      <c r="A418" s="73" t="s">
        <v>129</v>
      </c>
      <c r="B418" s="86">
        <v>25</v>
      </c>
      <c r="C418" s="86">
        <v>14</v>
      </c>
      <c r="D418" s="86">
        <v>7</v>
      </c>
      <c r="E418" s="86">
        <v>4</v>
      </c>
      <c r="F418" s="86"/>
      <c r="G418" s="75">
        <f>B418/25</f>
        <v>1</v>
      </c>
      <c r="H418" s="75">
        <f t="shared" ref="H418:H427" si="18">C418/B418</f>
        <v>0.56000000000000005</v>
      </c>
      <c r="I418" s="75">
        <f t="shared" ref="I418:I428" si="19">D418/B418</f>
        <v>0.28000000000000003</v>
      </c>
      <c r="J418" s="75">
        <f t="shared" ref="J418:J428" si="20">E418/B418</f>
        <v>0.16</v>
      </c>
      <c r="K418" s="74"/>
      <c r="L418" s="74"/>
      <c r="M418" s="6" t="s">
        <v>205</v>
      </c>
      <c r="N418" s="76">
        <v>500</v>
      </c>
      <c r="O418" s="141" t="s">
        <v>206</v>
      </c>
      <c r="Q418" s="53"/>
      <c r="R418" s="53"/>
    </row>
    <row r="419" spans="1:19" ht="12.75" customHeight="1" x14ac:dyDescent="0.4">
      <c r="A419" s="73" t="s">
        <v>130</v>
      </c>
      <c r="B419" s="86">
        <v>66</v>
      </c>
      <c r="C419" s="86">
        <v>46</v>
      </c>
      <c r="D419" s="86">
        <v>14</v>
      </c>
      <c r="E419" s="86">
        <v>6</v>
      </c>
      <c r="F419" s="86"/>
      <c r="G419" s="75">
        <f>B419/67</f>
        <v>0.9850746268656716</v>
      </c>
      <c r="H419" s="75">
        <f t="shared" si="18"/>
        <v>0.69696969696969702</v>
      </c>
      <c r="I419" s="75">
        <f t="shared" si="19"/>
        <v>0.21212121212121213</v>
      </c>
      <c r="J419" s="75">
        <f t="shared" si="20"/>
        <v>9.0909090909090912E-2</v>
      </c>
      <c r="K419" s="75"/>
      <c r="L419" s="75"/>
      <c r="M419" s="6" t="s">
        <v>351</v>
      </c>
      <c r="N419" s="139">
        <v>300</v>
      </c>
      <c r="O419" s="140">
        <f>N419/N418</f>
        <v>0.6</v>
      </c>
      <c r="Q419" s="72"/>
      <c r="R419" s="72"/>
    </row>
    <row r="420" spans="1:19" ht="12.75" customHeight="1" x14ac:dyDescent="0.4">
      <c r="A420" s="73" t="s">
        <v>131</v>
      </c>
      <c r="B420" s="86">
        <v>84</v>
      </c>
      <c r="C420" s="86">
        <v>56</v>
      </c>
      <c r="D420" s="86">
        <v>21</v>
      </c>
      <c r="E420" s="86">
        <v>7</v>
      </c>
      <c r="F420" s="86"/>
      <c r="G420" s="75">
        <f>B420/85</f>
        <v>0.9882352941176471</v>
      </c>
      <c r="H420" s="75">
        <f t="shared" si="18"/>
        <v>0.66666666666666663</v>
      </c>
      <c r="I420" s="75">
        <f t="shared" si="19"/>
        <v>0.25</v>
      </c>
      <c r="J420" s="75">
        <f t="shared" si="20"/>
        <v>8.3333333333333329E-2</v>
      </c>
      <c r="K420" s="75"/>
      <c r="L420" s="75"/>
      <c r="M420" s="6" t="s">
        <v>230</v>
      </c>
      <c r="N420" s="139">
        <v>70</v>
      </c>
      <c r="O420" s="140">
        <f>N420/N418</f>
        <v>0.14000000000000001</v>
      </c>
      <c r="Q420" s="72"/>
      <c r="R420" s="72"/>
    </row>
    <row r="421" spans="1:19" ht="12.75" customHeight="1" x14ac:dyDescent="0.4">
      <c r="A421" s="73" t="s">
        <v>132</v>
      </c>
      <c r="B421" s="86">
        <v>36</v>
      </c>
      <c r="C421" s="86">
        <v>23</v>
      </c>
      <c r="D421" s="86">
        <v>8</v>
      </c>
      <c r="E421" s="86">
        <v>5</v>
      </c>
      <c r="F421" s="86"/>
      <c r="G421" s="75">
        <f>B421/36</f>
        <v>1</v>
      </c>
      <c r="H421" s="75">
        <f t="shared" si="18"/>
        <v>0.63888888888888884</v>
      </c>
      <c r="I421" s="75">
        <f t="shared" si="19"/>
        <v>0.22222222222222221</v>
      </c>
      <c r="J421" s="75">
        <f t="shared" si="20"/>
        <v>0.1388888888888889</v>
      </c>
      <c r="K421" s="75"/>
      <c r="L421" s="75"/>
      <c r="M421" s="6" t="s">
        <v>350</v>
      </c>
      <c r="N421" s="139">
        <v>195</v>
      </c>
      <c r="O421" s="140">
        <f>N421/N418</f>
        <v>0.39</v>
      </c>
      <c r="Q421" s="72"/>
      <c r="R421" s="72"/>
    </row>
    <row r="422" spans="1:19" ht="12.75" customHeight="1" x14ac:dyDescent="0.4">
      <c r="A422" s="73" t="s">
        <v>133</v>
      </c>
      <c r="B422" s="86">
        <v>61</v>
      </c>
      <c r="C422" s="86">
        <v>50</v>
      </c>
      <c r="D422" s="86">
        <v>6</v>
      </c>
      <c r="E422" s="86">
        <v>5</v>
      </c>
      <c r="F422" s="86"/>
      <c r="G422" s="75">
        <f>B422/61</f>
        <v>1</v>
      </c>
      <c r="H422" s="75">
        <f t="shared" si="18"/>
        <v>0.81967213114754101</v>
      </c>
      <c r="I422" s="75">
        <f t="shared" si="19"/>
        <v>9.8360655737704916E-2</v>
      </c>
      <c r="J422" s="75">
        <f t="shared" si="20"/>
        <v>8.1967213114754092E-2</v>
      </c>
      <c r="K422" s="75"/>
      <c r="L422" s="75"/>
      <c r="M422" s="6" t="s">
        <v>231</v>
      </c>
      <c r="N422" s="139">
        <v>50</v>
      </c>
      <c r="O422" s="140">
        <f>N422/N418</f>
        <v>0.1</v>
      </c>
      <c r="P422" s="82"/>
    </row>
    <row r="423" spans="1:19" ht="12.75" customHeight="1" x14ac:dyDescent="0.4">
      <c r="A423" s="73" t="s">
        <v>134</v>
      </c>
      <c r="B423" s="86">
        <v>66</v>
      </c>
      <c r="C423" s="86">
        <v>49</v>
      </c>
      <c r="D423" s="86">
        <v>11</v>
      </c>
      <c r="E423" s="86">
        <v>6</v>
      </c>
      <c r="F423" s="87"/>
      <c r="G423" s="75">
        <f>B423/66</f>
        <v>1</v>
      </c>
      <c r="H423" s="75">
        <f t="shared" si="18"/>
        <v>0.74242424242424243</v>
      </c>
      <c r="I423" s="75">
        <f t="shared" si="19"/>
        <v>0.16666666666666666</v>
      </c>
      <c r="J423" s="75">
        <f t="shared" si="20"/>
        <v>9.0909090909090912E-2</v>
      </c>
      <c r="K423" s="75"/>
      <c r="L423" s="75"/>
      <c r="M423" s="6"/>
      <c r="N423" s="139"/>
      <c r="O423" s="140"/>
    </row>
    <row r="424" spans="1:19" ht="12.75" customHeight="1" x14ac:dyDescent="0.4">
      <c r="A424" s="73" t="s">
        <v>135</v>
      </c>
      <c r="B424" s="86">
        <v>68</v>
      </c>
      <c r="C424" s="86">
        <v>58</v>
      </c>
      <c r="D424" s="86">
        <v>4</v>
      </c>
      <c r="E424" s="86">
        <v>6</v>
      </c>
      <c r="F424" s="87"/>
      <c r="G424" s="75">
        <f>B424/68</f>
        <v>1</v>
      </c>
      <c r="H424" s="75">
        <f t="shared" si="18"/>
        <v>0.8529411764705882</v>
      </c>
      <c r="I424" s="75">
        <f t="shared" si="19"/>
        <v>5.8823529411764705E-2</v>
      </c>
      <c r="J424" s="75">
        <f t="shared" si="20"/>
        <v>8.8235294117647065E-2</v>
      </c>
      <c r="K424" s="75"/>
      <c r="L424" s="75"/>
      <c r="M424" s="6"/>
      <c r="N424" s="139"/>
      <c r="O424" s="140"/>
    </row>
    <row r="425" spans="1:19" ht="12.75" customHeight="1" x14ac:dyDescent="0.4">
      <c r="A425" s="73" t="s">
        <v>382</v>
      </c>
      <c r="B425" s="86">
        <v>4</v>
      </c>
      <c r="C425" s="86">
        <v>2</v>
      </c>
      <c r="D425" s="86">
        <v>1</v>
      </c>
      <c r="E425" s="86">
        <v>1</v>
      </c>
      <c r="F425" s="87"/>
      <c r="G425" s="75">
        <f>B425/4</f>
        <v>1</v>
      </c>
      <c r="H425" s="75">
        <f t="shared" si="18"/>
        <v>0.5</v>
      </c>
      <c r="I425" s="75">
        <f t="shared" si="19"/>
        <v>0.25</v>
      </c>
      <c r="J425" s="75">
        <f t="shared" si="20"/>
        <v>0.25</v>
      </c>
      <c r="K425" s="75"/>
      <c r="L425" s="75"/>
      <c r="M425" s="6"/>
      <c r="N425" s="75"/>
      <c r="O425" s="75"/>
    </row>
    <row r="426" spans="1:19" ht="12.75" customHeight="1" x14ac:dyDescent="0.4">
      <c r="A426" s="73" t="s">
        <v>136</v>
      </c>
      <c r="B426" s="86">
        <v>28</v>
      </c>
      <c r="C426" s="86">
        <v>20</v>
      </c>
      <c r="D426" s="86">
        <v>5</v>
      </c>
      <c r="E426" s="86">
        <v>3</v>
      </c>
      <c r="F426" s="87"/>
      <c r="G426" s="75">
        <f>B426/28</f>
        <v>1</v>
      </c>
      <c r="H426" s="75">
        <f t="shared" si="18"/>
        <v>0.7142857142857143</v>
      </c>
      <c r="I426" s="75">
        <f t="shared" si="19"/>
        <v>0.17857142857142858</v>
      </c>
      <c r="J426" s="75">
        <f t="shared" si="20"/>
        <v>0.10714285714285714</v>
      </c>
      <c r="K426" s="75"/>
      <c r="L426" s="75"/>
      <c r="M426" s="6"/>
      <c r="N426" s="75"/>
      <c r="O426" s="75"/>
    </row>
    <row r="427" spans="1:19" ht="12.75" customHeight="1" x14ac:dyDescent="0.4">
      <c r="A427" s="73" t="s">
        <v>308</v>
      </c>
      <c r="B427" s="86">
        <v>31</v>
      </c>
      <c r="C427" s="86">
        <v>15</v>
      </c>
      <c r="D427" s="86">
        <v>12</v>
      </c>
      <c r="E427" s="86">
        <v>4</v>
      </c>
      <c r="F427" s="87"/>
      <c r="G427" s="75">
        <f>B427/31</f>
        <v>1</v>
      </c>
      <c r="H427" s="75">
        <f t="shared" si="18"/>
        <v>0.4838709677419355</v>
      </c>
      <c r="I427" s="75">
        <f t="shared" si="19"/>
        <v>0.38709677419354838</v>
      </c>
      <c r="J427" s="75">
        <f t="shared" si="20"/>
        <v>0.12903225806451613</v>
      </c>
      <c r="K427" s="75"/>
      <c r="L427" s="75"/>
      <c r="M427" s="73"/>
      <c r="N427" s="168"/>
      <c r="O427" s="75"/>
    </row>
    <row r="428" spans="1:19" s="53" customFormat="1" ht="12.75" customHeight="1" x14ac:dyDescent="0.4">
      <c r="A428" s="73" t="s">
        <v>24</v>
      </c>
      <c r="B428" s="87">
        <v>503</v>
      </c>
      <c r="C428" s="86">
        <v>353</v>
      </c>
      <c r="D428" s="86">
        <v>101</v>
      </c>
      <c r="E428" s="87">
        <v>49</v>
      </c>
      <c r="F428" s="72"/>
      <c r="G428" s="75">
        <f>B428/505</f>
        <v>0.99603960396039604</v>
      </c>
      <c r="H428" s="75">
        <f>C428/B428</f>
        <v>0.70178926441351885</v>
      </c>
      <c r="I428" s="75">
        <f t="shared" si="19"/>
        <v>0.20079522862823063</v>
      </c>
      <c r="J428" s="75">
        <f t="shared" si="20"/>
        <v>9.7415506958250492E-2</v>
      </c>
      <c r="K428" s="75"/>
      <c r="L428" s="75"/>
      <c r="M428" s="73"/>
      <c r="N428" s="168"/>
      <c r="O428" s="75"/>
      <c r="P428"/>
      <c r="Q428"/>
      <c r="R428"/>
      <c r="S428"/>
    </row>
    <row r="429" spans="1:19" s="53" customFormat="1" ht="12.75" customHeight="1" x14ac:dyDescent="0.4">
      <c r="A429" s="73"/>
      <c r="B429" s="87"/>
      <c r="C429" s="87"/>
      <c r="D429" s="87"/>
      <c r="E429" s="87"/>
      <c r="F429" s="72"/>
      <c r="G429" s="75"/>
      <c r="H429" s="75"/>
      <c r="I429" s="75"/>
      <c r="J429" s="75"/>
      <c r="K429" s="75"/>
      <c r="L429" s="75"/>
      <c r="M429" s="6"/>
      <c r="N429" s="6"/>
      <c r="O429" s="113"/>
      <c r="P429"/>
      <c r="Q429"/>
      <c r="R429"/>
      <c r="S429"/>
    </row>
    <row r="430" spans="1:19" s="53" customFormat="1" ht="12.75" customHeight="1" x14ac:dyDescent="0.4">
      <c r="A430" s="73"/>
      <c r="B430" s="87"/>
      <c r="C430" s="87"/>
      <c r="D430" s="87"/>
      <c r="E430" s="87"/>
      <c r="F430" s="72"/>
      <c r="G430" s="75"/>
      <c r="H430" s="75"/>
      <c r="I430" s="75"/>
      <c r="J430" s="75"/>
      <c r="K430" s="75"/>
      <c r="L430" s="75"/>
      <c r="M430" s="6"/>
      <c r="N430" s="6"/>
      <c r="O430" s="113"/>
      <c r="P430"/>
      <c r="Q430"/>
      <c r="R430"/>
      <c r="S430"/>
    </row>
    <row r="431" spans="1:19" s="53" customFormat="1" ht="12.75" customHeight="1" x14ac:dyDescent="0.4">
      <c r="A431" s="73"/>
      <c r="B431" s="87"/>
      <c r="C431" s="87"/>
      <c r="D431" s="87"/>
      <c r="E431" s="87"/>
      <c r="F431" s="72"/>
      <c r="G431" s="75"/>
      <c r="H431" s="75"/>
      <c r="I431" s="75"/>
      <c r="J431" s="75"/>
      <c r="K431" s="75"/>
      <c r="L431" s="75"/>
      <c r="M431" s="6"/>
      <c r="N431" s="6"/>
      <c r="O431" s="6"/>
      <c r="Q431"/>
      <c r="R431"/>
      <c r="S431"/>
    </row>
    <row r="432" spans="1:19" ht="12.75" customHeight="1" x14ac:dyDescent="0.4">
      <c r="A432" s="73" t="s">
        <v>347</v>
      </c>
      <c r="B432" s="72"/>
      <c r="C432" s="72"/>
      <c r="D432" s="72"/>
      <c r="E432" s="72"/>
      <c r="F432" s="72"/>
      <c r="G432" s="72"/>
      <c r="H432" s="72"/>
      <c r="I432" s="72"/>
      <c r="J432" s="72"/>
      <c r="K432" s="75"/>
      <c r="L432" s="75"/>
      <c r="M432" s="6"/>
      <c r="N432" s="6"/>
      <c r="O432" s="6"/>
      <c r="P432" s="53"/>
    </row>
    <row r="433" spans="1:19" ht="12.75" customHeight="1" x14ac:dyDescent="0.4">
      <c r="A433" s="73" t="s">
        <v>348</v>
      </c>
      <c r="B433" s="72"/>
      <c r="C433" s="72"/>
      <c r="D433" s="72"/>
      <c r="E433" s="72"/>
      <c r="F433" s="72"/>
      <c r="G433" s="72"/>
      <c r="H433" s="72"/>
      <c r="I433" s="72"/>
      <c r="J433" s="72"/>
      <c r="K433" s="72"/>
      <c r="L433" s="75"/>
      <c r="M433" s="6"/>
      <c r="N433" s="6"/>
      <c r="O433" s="6"/>
      <c r="P433" s="53"/>
      <c r="S433" s="53"/>
    </row>
    <row r="434" spans="1:19" ht="12.75" customHeight="1" x14ac:dyDescent="0.4">
      <c r="A434" s="73" t="s">
        <v>353</v>
      </c>
      <c r="B434" s="72"/>
      <c r="C434" s="72"/>
      <c r="D434" s="72"/>
      <c r="E434" s="72"/>
      <c r="F434" s="72"/>
      <c r="G434" s="72"/>
      <c r="H434" s="72"/>
      <c r="I434" s="72"/>
      <c r="J434" s="72"/>
      <c r="K434" s="72"/>
      <c r="L434" s="72"/>
      <c r="M434" s="6"/>
      <c r="N434" s="6"/>
      <c r="O434" s="6"/>
      <c r="P434" s="53"/>
      <c r="S434" s="53"/>
    </row>
    <row r="435" spans="1:19" ht="12.75" customHeight="1" x14ac:dyDescent="0.4">
      <c r="A435" s="73"/>
      <c r="B435" s="72" t="s">
        <v>141</v>
      </c>
      <c r="C435" s="72"/>
      <c r="D435" s="72"/>
      <c r="E435" s="72"/>
      <c r="F435" s="86"/>
      <c r="G435" s="72" t="s">
        <v>148</v>
      </c>
      <c r="H435" s="72"/>
      <c r="I435" s="72"/>
      <c r="J435" s="72"/>
      <c r="K435" s="72"/>
      <c r="L435" s="72"/>
      <c r="M435" s="6" t="s">
        <v>343</v>
      </c>
      <c r="N435" s="6"/>
      <c r="O435" s="6"/>
      <c r="S435" s="53"/>
    </row>
    <row r="436" spans="1:19" ht="12.75" customHeight="1" x14ac:dyDescent="0.4">
      <c r="A436" s="73" t="s">
        <v>137</v>
      </c>
      <c r="B436" s="74" t="s">
        <v>113</v>
      </c>
      <c r="C436" s="74" t="s">
        <v>114</v>
      </c>
      <c r="D436" s="74" t="s">
        <v>115</v>
      </c>
      <c r="E436" s="74" t="s">
        <v>116</v>
      </c>
      <c r="F436" s="86"/>
      <c r="G436" s="74" t="s">
        <v>113</v>
      </c>
      <c r="H436" s="74" t="s">
        <v>114</v>
      </c>
      <c r="I436" s="74" t="s">
        <v>115</v>
      </c>
      <c r="J436" s="74" t="s">
        <v>116</v>
      </c>
      <c r="K436" s="72"/>
      <c r="L436" s="72"/>
      <c r="M436" s="6" t="s">
        <v>344</v>
      </c>
      <c r="N436" s="139"/>
      <c r="O436" s="140"/>
      <c r="Q436" s="53"/>
      <c r="R436" s="53"/>
      <c r="S436" s="53"/>
    </row>
    <row r="437" spans="1:19" ht="12.75" customHeight="1" x14ac:dyDescent="0.4">
      <c r="A437" s="73" t="s">
        <v>128</v>
      </c>
      <c r="B437" s="86">
        <v>35</v>
      </c>
      <c r="C437" s="86">
        <v>21</v>
      </c>
      <c r="D437" s="86">
        <v>11</v>
      </c>
      <c r="E437" s="86">
        <v>3</v>
      </c>
      <c r="F437" s="86"/>
      <c r="G437" s="75">
        <v>1</v>
      </c>
      <c r="H437" s="75">
        <v>0.6</v>
      </c>
      <c r="I437" s="75">
        <v>0.31428571428571428</v>
      </c>
      <c r="J437" s="75">
        <v>8.5714285714285715E-2</v>
      </c>
      <c r="K437" s="74"/>
      <c r="L437" s="74"/>
      <c r="M437" s="6" t="s">
        <v>254</v>
      </c>
      <c r="N437" s="6"/>
      <c r="O437" s="6"/>
      <c r="Q437" s="53"/>
      <c r="R437" s="53"/>
    </row>
    <row r="438" spans="1:19" ht="12.75" customHeight="1" x14ac:dyDescent="0.4">
      <c r="A438" s="73" t="s">
        <v>129</v>
      </c>
      <c r="B438" s="86">
        <v>25</v>
      </c>
      <c r="C438" s="86">
        <v>19</v>
      </c>
      <c r="D438" s="86">
        <v>3</v>
      </c>
      <c r="E438" s="86">
        <v>3</v>
      </c>
      <c r="F438" s="86"/>
      <c r="G438" s="75">
        <v>1</v>
      </c>
      <c r="H438" s="75">
        <v>0.76</v>
      </c>
      <c r="I438" s="75">
        <v>0.12</v>
      </c>
      <c r="J438" s="75">
        <v>0.12</v>
      </c>
      <c r="K438" s="75"/>
      <c r="L438" s="75"/>
      <c r="M438" s="6" t="s">
        <v>205</v>
      </c>
      <c r="N438" s="76">
        <v>500</v>
      </c>
      <c r="O438" s="141" t="s">
        <v>206</v>
      </c>
      <c r="P438" s="72"/>
      <c r="Q438" s="53"/>
      <c r="R438" s="53"/>
    </row>
    <row r="439" spans="1:19" ht="12.75" customHeight="1" x14ac:dyDescent="0.4">
      <c r="A439" s="73" t="s">
        <v>130</v>
      </c>
      <c r="B439" s="86">
        <v>68</v>
      </c>
      <c r="C439" s="86">
        <v>52</v>
      </c>
      <c r="D439" s="86">
        <v>11</v>
      </c>
      <c r="E439" s="86">
        <v>5</v>
      </c>
      <c r="F439" s="86"/>
      <c r="G439" s="75">
        <v>1</v>
      </c>
      <c r="H439" s="75">
        <v>0.76470588235294112</v>
      </c>
      <c r="I439" s="75">
        <v>0.16176470588235295</v>
      </c>
      <c r="J439" s="75">
        <v>7.3529411764705885E-2</v>
      </c>
      <c r="K439" s="75"/>
      <c r="L439" s="75"/>
      <c r="M439" s="6" t="s">
        <v>352</v>
      </c>
      <c r="N439" s="139">
        <v>288</v>
      </c>
      <c r="O439" s="140">
        <v>0.57599999999999996</v>
      </c>
      <c r="P439" s="96"/>
      <c r="Q439" s="53"/>
      <c r="R439" s="53"/>
    </row>
    <row r="440" spans="1:19" ht="12.75" customHeight="1" x14ac:dyDescent="0.4">
      <c r="A440" s="73" t="s">
        <v>131</v>
      </c>
      <c r="B440" s="86">
        <v>83</v>
      </c>
      <c r="C440" s="86">
        <v>60</v>
      </c>
      <c r="D440" s="86">
        <v>17</v>
      </c>
      <c r="E440" s="86">
        <v>6</v>
      </c>
      <c r="F440" s="86"/>
      <c r="G440" s="75">
        <v>0.97647058823529409</v>
      </c>
      <c r="H440" s="75">
        <v>0.72289156626506024</v>
      </c>
      <c r="I440" s="75">
        <v>0.20481927710843373</v>
      </c>
      <c r="J440" s="75">
        <v>7.2289156626506021E-2</v>
      </c>
      <c r="K440" s="75"/>
      <c r="L440" s="75"/>
      <c r="M440" s="6" t="s">
        <v>230</v>
      </c>
      <c r="N440" s="139">
        <v>74</v>
      </c>
      <c r="O440" s="140">
        <v>0.14799999999999999</v>
      </c>
      <c r="P440" s="118"/>
    </row>
    <row r="441" spans="1:19" ht="12.75" customHeight="1" x14ac:dyDescent="0.4">
      <c r="A441" s="73" t="s">
        <v>132</v>
      </c>
      <c r="B441" s="86">
        <v>37</v>
      </c>
      <c r="C441" s="86">
        <v>21</v>
      </c>
      <c r="D441" s="86">
        <v>14</v>
      </c>
      <c r="E441" s="86">
        <v>2</v>
      </c>
      <c r="F441" s="86"/>
      <c r="G441" s="75">
        <v>1</v>
      </c>
      <c r="H441" s="75">
        <v>0.56756756756756754</v>
      </c>
      <c r="I441" s="75">
        <v>0.3783783783783784</v>
      </c>
      <c r="J441" s="75">
        <v>5.4054054054054057E-2</v>
      </c>
      <c r="K441" s="75"/>
      <c r="L441" s="75"/>
      <c r="M441" s="6" t="s">
        <v>345</v>
      </c>
      <c r="N441" s="139">
        <v>206</v>
      </c>
      <c r="O441" s="140">
        <v>0.41199999999999998</v>
      </c>
      <c r="P441" s="118"/>
    </row>
    <row r="442" spans="1:19" ht="12.75" customHeight="1" x14ac:dyDescent="0.4">
      <c r="A442" s="73" t="s">
        <v>133</v>
      </c>
      <c r="B442" s="86">
        <v>60</v>
      </c>
      <c r="C442" s="86">
        <v>51</v>
      </c>
      <c r="D442" s="86">
        <v>6</v>
      </c>
      <c r="E442" s="86">
        <v>3</v>
      </c>
      <c r="F442" s="86"/>
      <c r="G442" s="75">
        <v>1</v>
      </c>
      <c r="H442" s="75">
        <v>0.85</v>
      </c>
      <c r="I442" s="75">
        <v>0.1</v>
      </c>
      <c r="J442" s="75">
        <v>0.05</v>
      </c>
      <c r="K442" s="75"/>
      <c r="L442" s="75"/>
      <c r="M442" s="6" t="s">
        <v>231</v>
      </c>
      <c r="N442" s="139">
        <v>60</v>
      </c>
      <c r="O442" s="140">
        <v>0.12</v>
      </c>
      <c r="P442" s="118"/>
    </row>
    <row r="443" spans="1:19" ht="12.75" customHeight="1" x14ac:dyDescent="0.4">
      <c r="A443" s="73" t="s">
        <v>134</v>
      </c>
      <c r="B443" s="86">
        <v>65</v>
      </c>
      <c r="C443" s="86">
        <v>54</v>
      </c>
      <c r="D443" s="86">
        <v>9</v>
      </c>
      <c r="E443" s="86">
        <v>2</v>
      </c>
      <c r="F443" s="87"/>
      <c r="G443" s="75">
        <v>1</v>
      </c>
      <c r="H443" s="75">
        <v>0.83076923076923082</v>
      </c>
      <c r="I443" s="75">
        <v>0.13846153846153847</v>
      </c>
      <c r="J443" s="75">
        <v>3.0769230769230771E-2</v>
      </c>
      <c r="K443" s="75"/>
      <c r="L443" s="75"/>
      <c r="M443" s="6"/>
      <c r="N443" s="139"/>
      <c r="O443" s="140"/>
      <c r="P443" s="118"/>
      <c r="Q443" s="117"/>
      <c r="R443" s="72"/>
    </row>
    <row r="444" spans="1:19" ht="12.75" customHeight="1" x14ac:dyDescent="0.4">
      <c r="A444" s="73" t="s">
        <v>135</v>
      </c>
      <c r="B444" s="86">
        <v>67</v>
      </c>
      <c r="C444" s="86">
        <v>58</v>
      </c>
      <c r="D444" s="86">
        <v>3</v>
      </c>
      <c r="E444" s="86">
        <v>6</v>
      </c>
      <c r="F444" s="87"/>
      <c r="G444" s="75">
        <v>1</v>
      </c>
      <c r="H444" s="75">
        <v>0.86567164179104472</v>
      </c>
      <c r="I444" s="75">
        <v>4.4776119402985072E-2</v>
      </c>
      <c r="J444" s="75">
        <v>8.9552238805970144E-2</v>
      </c>
      <c r="K444" s="75"/>
      <c r="L444" s="75"/>
      <c r="M444" s="6"/>
      <c r="N444" s="139"/>
      <c r="O444" s="140"/>
      <c r="P444" s="53"/>
      <c r="Q444" s="116"/>
      <c r="R444" s="82"/>
    </row>
    <row r="445" spans="1:19" s="53" customFormat="1" ht="12.75" customHeight="1" x14ac:dyDescent="0.4">
      <c r="A445" s="73" t="s">
        <v>382</v>
      </c>
      <c r="B445" s="86">
        <v>4</v>
      </c>
      <c r="C445" s="86">
        <v>0</v>
      </c>
      <c r="D445" s="86">
        <v>2</v>
      </c>
      <c r="E445" s="86">
        <v>2</v>
      </c>
      <c r="F445" s="87"/>
      <c r="G445" s="75">
        <v>1</v>
      </c>
      <c r="H445" s="75">
        <v>0</v>
      </c>
      <c r="I445" s="75">
        <v>0.5</v>
      </c>
      <c r="J445" s="75">
        <v>0.5</v>
      </c>
      <c r="K445" s="75"/>
      <c r="L445" s="75"/>
      <c r="M445" s="6"/>
      <c r="N445" s="75"/>
      <c r="O445" s="75"/>
      <c r="Q445" s="119"/>
      <c r="R445" s="118"/>
      <c r="S445"/>
    </row>
    <row r="446" spans="1:19" s="53" customFormat="1" ht="12.75" customHeight="1" x14ac:dyDescent="0.4">
      <c r="A446" s="73" t="s">
        <v>136</v>
      </c>
      <c r="B446" s="86">
        <v>28</v>
      </c>
      <c r="C446" s="86">
        <v>21</v>
      </c>
      <c r="D446" s="86">
        <v>4</v>
      </c>
      <c r="E446" s="86">
        <v>3</v>
      </c>
      <c r="F446" s="87"/>
      <c r="G446" s="75">
        <v>1</v>
      </c>
      <c r="H446" s="75">
        <v>0.75</v>
      </c>
      <c r="I446" s="75">
        <v>0.14285714285714285</v>
      </c>
      <c r="J446" s="75">
        <v>0.10714285714285714</v>
      </c>
      <c r="K446" s="75"/>
      <c r="L446" s="75"/>
      <c r="M446" s="6"/>
      <c r="N446" s="75"/>
      <c r="O446" s="75"/>
      <c r="Q446" s="119"/>
      <c r="R446" s="118"/>
    </row>
    <row r="447" spans="1:19" s="53" customFormat="1" ht="12.75" customHeight="1" x14ac:dyDescent="0.4">
      <c r="A447" s="73" t="s">
        <v>308</v>
      </c>
      <c r="B447" s="86">
        <v>31</v>
      </c>
      <c r="C447" s="86">
        <v>15</v>
      </c>
      <c r="D447" s="86">
        <v>15</v>
      </c>
      <c r="E447" s="86">
        <v>1</v>
      </c>
      <c r="F447" s="87"/>
      <c r="G447" s="75">
        <v>1</v>
      </c>
      <c r="H447" s="75">
        <v>0.4838709677419355</v>
      </c>
      <c r="I447" s="75">
        <v>0.4838709677419355</v>
      </c>
      <c r="J447" s="75">
        <v>3.2258064516129031E-2</v>
      </c>
      <c r="K447" s="75"/>
      <c r="L447" s="75"/>
      <c r="M447" s="73"/>
      <c r="N447" s="168"/>
      <c r="O447" s="75"/>
      <c r="Q447" s="119"/>
      <c r="R447" s="118"/>
    </row>
    <row r="448" spans="1:19" s="53" customFormat="1" ht="12.75" customHeight="1" x14ac:dyDescent="0.4">
      <c r="A448" s="73" t="s">
        <v>24</v>
      </c>
      <c r="B448" s="87">
        <v>503</v>
      </c>
      <c r="C448" s="86">
        <v>372</v>
      </c>
      <c r="D448" s="86">
        <v>95</v>
      </c>
      <c r="E448" s="87">
        <v>36</v>
      </c>
      <c r="F448" s="72"/>
      <c r="G448" s="75">
        <v>0.99603960396039604</v>
      </c>
      <c r="H448" s="75">
        <v>0.73956262425447317</v>
      </c>
      <c r="I448" s="75">
        <v>0.18886679920477137</v>
      </c>
      <c r="J448" s="75">
        <v>7.1570576540755465E-2</v>
      </c>
      <c r="K448" s="75"/>
      <c r="L448" s="75"/>
      <c r="M448" s="73"/>
      <c r="N448" s="168"/>
      <c r="O448" s="75"/>
      <c r="P448"/>
      <c r="Q448" s="119"/>
      <c r="R448" s="118"/>
    </row>
    <row r="449" spans="1:19" ht="12.75" customHeight="1" x14ac:dyDescent="0.4">
      <c r="A449" s="73"/>
      <c r="B449" s="87"/>
      <c r="C449" s="86"/>
      <c r="D449" s="86"/>
      <c r="E449" s="87"/>
      <c r="F449" s="72"/>
      <c r="G449" s="75"/>
      <c r="H449" s="75"/>
      <c r="I449" s="75"/>
      <c r="J449" s="75"/>
      <c r="K449" s="75"/>
      <c r="L449" s="75"/>
      <c r="M449" s="73"/>
      <c r="N449" s="168"/>
      <c r="O449" s="75"/>
      <c r="Q449" s="53"/>
      <c r="R449" s="53"/>
      <c r="S449" s="53"/>
    </row>
    <row r="450" spans="1:19" ht="12.75" customHeight="1" x14ac:dyDescent="0.4">
      <c r="A450" s="73"/>
      <c r="B450" s="87"/>
      <c r="C450" s="86"/>
      <c r="D450" s="86"/>
      <c r="E450" s="87"/>
      <c r="F450" s="72"/>
      <c r="G450" s="75"/>
      <c r="H450" s="75"/>
      <c r="I450" s="75"/>
      <c r="J450" s="75"/>
      <c r="K450" s="75"/>
      <c r="L450" s="75"/>
      <c r="M450" s="73"/>
      <c r="N450" s="168"/>
      <c r="O450" s="75"/>
      <c r="Q450" s="53"/>
      <c r="R450" s="53"/>
    </row>
    <row r="451" spans="1:19" ht="12.75" customHeight="1" x14ac:dyDescent="0.4">
      <c r="A451" s="73"/>
      <c r="B451" s="87"/>
      <c r="C451" s="87"/>
      <c r="D451" s="87"/>
      <c r="E451" s="87"/>
      <c r="F451" s="72"/>
      <c r="G451" s="75"/>
      <c r="H451" s="75"/>
      <c r="I451" s="75"/>
      <c r="J451" s="75"/>
      <c r="K451" s="75"/>
      <c r="L451" s="75"/>
      <c r="M451" s="6"/>
      <c r="N451" s="6"/>
      <c r="O451" s="6"/>
      <c r="P451" s="72"/>
      <c r="Q451" s="53"/>
      <c r="R451" s="53"/>
    </row>
    <row r="452" spans="1:19" s="72" customFormat="1" ht="12.75" customHeight="1" x14ac:dyDescent="0.4">
      <c r="A452" s="73" t="s">
        <v>335</v>
      </c>
      <c r="K452" s="75"/>
      <c r="L452" s="75"/>
      <c r="M452" s="6"/>
      <c r="N452" s="6"/>
      <c r="O452" s="6"/>
      <c r="Q452" s="53"/>
      <c r="R452" s="53"/>
      <c r="S452"/>
    </row>
    <row r="453" spans="1:19" s="72" customFormat="1" ht="12.75" customHeight="1" x14ac:dyDescent="0.4">
      <c r="A453" s="73" t="s">
        <v>342</v>
      </c>
      <c r="L453" s="75"/>
      <c r="M453" s="6"/>
      <c r="N453" s="6"/>
      <c r="O453" s="6"/>
      <c r="Q453"/>
      <c r="R453"/>
    </row>
    <row r="454" spans="1:19" s="72" customFormat="1" ht="12.75" customHeight="1" x14ac:dyDescent="0.4">
      <c r="A454" s="73" t="s">
        <v>354</v>
      </c>
      <c r="M454" s="6"/>
      <c r="N454" s="6"/>
      <c r="O454" s="6"/>
      <c r="Q454"/>
      <c r="R454"/>
    </row>
    <row r="455" spans="1:19" s="72" customFormat="1" ht="12.75" customHeight="1" x14ac:dyDescent="0.4">
      <c r="A455" s="73" t="s">
        <v>338</v>
      </c>
      <c r="B455" s="72" t="s">
        <v>141</v>
      </c>
      <c r="F455" s="86"/>
      <c r="G455" s="72" t="s">
        <v>148</v>
      </c>
      <c r="M455" s="6" t="s">
        <v>287</v>
      </c>
      <c r="N455" s="6"/>
      <c r="O455" s="6"/>
      <c r="Q455"/>
      <c r="R455"/>
    </row>
    <row r="456" spans="1:19" s="72" customFormat="1" ht="12.75" customHeight="1" x14ac:dyDescent="0.4">
      <c r="A456" s="73" t="s">
        <v>137</v>
      </c>
      <c r="B456" s="74" t="s">
        <v>113</v>
      </c>
      <c r="C456" s="74" t="s">
        <v>114</v>
      </c>
      <c r="D456" s="74" t="s">
        <v>115</v>
      </c>
      <c r="E456" s="74" t="s">
        <v>116</v>
      </c>
      <c r="F456" s="86"/>
      <c r="G456" s="74" t="s">
        <v>113</v>
      </c>
      <c r="H456" s="74" t="s">
        <v>114</v>
      </c>
      <c r="I456" s="74" t="s">
        <v>115</v>
      </c>
      <c r="J456" s="74" t="s">
        <v>116</v>
      </c>
      <c r="M456" s="6" t="s">
        <v>334</v>
      </c>
      <c r="N456" s="139"/>
      <c r="O456" s="140"/>
    </row>
    <row r="457" spans="1:19" s="72" customFormat="1" ht="12.75" customHeight="1" x14ac:dyDescent="0.4">
      <c r="A457" s="73" t="s">
        <v>128</v>
      </c>
      <c r="B457" s="86">
        <v>36</v>
      </c>
      <c r="C457" s="86">
        <v>19</v>
      </c>
      <c r="D457" s="86">
        <v>11</v>
      </c>
      <c r="E457" s="86">
        <v>6</v>
      </c>
      <c r="F457" s="86"/>
      <c r="G457" s="75">
        <v>1</v>
      </c>
      <c r="H457" s="75">
        <v>0.52777777777777779</v>
      </c>
      <c r="I457" s="75">
        <v>0.30555555555555558</v>
      </c>
      <c r="J457" s="75">
        <v>0.16666666666666666</v>
      </c>
      <c r="M457" s="6" t="s">
        <v>254</v>
      </c>
      <c r="N457" s="6"/>
      <c r="O457" s="6"/>
    </row>
    <row r="458" spans="1:19" s="72" customFormat="1" ht="12.75" customHeight="1" x14ac:dyDescent="0.4">
      <c r="A458" s="73" t="s">
        <v>129</v>
      </c>
      <c r="B458" s="86">
        <v>25</v>
      </c>
      <c r="C458" s="86">
        <v>15</v>
      </c>
      <c r="D458" s="86">
        <v>7</v>
      </c>
      <c r="E458" s="86">
        <v>3</v>
      </c>
      <c r="F458" s="86"/>
      <c r="G458" s="75">
        <v>1</v>
      </c>
      <c r="H458" s="75">
        <v>0.6</v>
      </c>
      <c r="I458" s="75">
        <v>0.28000000000000003</v>
      </c>
      <c r="J458" s="75">
        <v>0.12</v>
      </c>
      <c r="K458" s="74"/>
      <c r="L458" s="74"/>
      <c r="M458" s="6" t="s">
        <v>205</v>
      </c>
      <c r="N458" s="76">
        <v>496</v>
      </c>
      <c r="O458" s="141" t="s">
        <v>206</v>
      </c>
    </row>
    <row r="459" spans="1:19" s="72" customFormat="1" ht="12.75" customHeight="1" x14ac:dyDescent="0.4">
      <c r="A459" s="73" t="s">
        <v>130</v>
      </c>
      <c r="B459" s="86">
        <v>68</v>
      </c>
      <c r="C459" s="86">
        <v>41</v>
      </c>
      <c r="D459" s="86">
        <v>19</v>
      </c>
      <c r="E459" s="86">
        <v>8</v>
      </c>
      <c r="F459" s="86"/>
      <c r="G459" s="75">
        <v>0.98550724637681164</v>
      </c>
      <c r="H459" s="75">
        <v>0.6029411764705882</v>
      </c>
      <c r="I459" s="75">
        <v>0.27941176470588236</v>
      </c>
      <c r="J459" s="75">
        <v>0.11764705882352941</v>
      </c>
      <c r="K459" s="75"/>
      <c r="L459" s="75"/>
      <c r="M459" s="6" t="s">
        <v>336</v>
      </c>
      <c r="N459" s="139">
        <v>314</v>
      </c>
      <c r="O459" s="140">
        <v>0.63306451612903225</v>
      </c>
    </row>
    <row r="460" spans="1:19" s="72" customFormat="1" ht="12.75" customHeight="1" x14ac:dyDescent="0.4">
      <c r="A460" s="73" t="s">
        <v>131</v>
      </c>
      <c r="B460" s="86">
        <v>84</v>
      </c>
      <c r="C460" s="86">
        <v>61</v>
      </c>
      <c r="D460" s="86">
        <v>16</v>
      </c>
      <c r="E460" s="86">
        <v>7</v>
      </c>
      <c r="F460" s="86"/>
      <c r="G460" s="75">
        <v>0.97674418604651159</v>
      </c>
      <c r="H460" s="75">
        <v>0.72619047619047616</v>
      </c>
      <c r="I460" s="75">
        <v>0.19047619047619047</v>
      </c>
      <c r="J460" s="75">
        <v>8.3333333333333329E-2</v>
      </c>
      <c r="K460" s="75"/>
      <c r="L460" s="75"/>
      <c r="M460" s="6" t="s">
        <v>230</v>
      </c>
      <c r="N460" s="139">
        <v>96</v>
      </c>
      <c r="O460" s="140">
        <v>0.19354838709677419</v>
      </c>
    </row>
    <row r="461" spans="1:19" s="72" customFormat="1" ht="12.75" customHeight="1" x14ac:dyDescent="0.4">
      <c r="A461" s="73" t="s">
        <v>132</v>
      </c>
      <c r="B461" s="86">
        <v>37</v>
      </c>
      <c r="C461" s="86">
        <v>21</v>
      </c>
      <c r="D461" s="86">
        <v>12</v>
      </c>
      <c r="E461" s="86">
        <v>4</v>
      </c>
      <c r="F461" s="86"/>
      <c r="G461" s="75">
        <v>1</v>
      </c>
      <c r="H461" s="75">
        <v>0.56756756756756754</v>
      </c>
      <c r="I461" s="75">
        <v>0.32432432432432434</v>
      </c>
      <c r="J461" s="75">
        <v>0.10810810810810811</v>
      </c>
      <c r="K461" s="75"/>
      <c r="L461" s="75"/>
      <c r="M461" s="6" t="s">
        <v>337</v>
      </c>
      <c r="N461" s="139">
        <v>179</v>
      </c>
      <c r="O461" s="140">
        <v>0.36088709677419356</v>
      </c>
    </row>
    <row r="462" spans="1:19" s="53" customFormat="1" ht="12.75" customHeight="1" x14ac:dyDescent="0.4">
      <c r="A462" s="73" t="s">
        <v>133</v>
      </c>
      <c r="B462" s="86">
        <v>59</v>
      </c>
      <c r="C462" s="86">
        <v>45</v>
      </c>
      <c r="D462" s="86">
        <v>8</v>
      </c>
      <c r="E462" s="86">
        <v>6</v>
      </c>
      <c r="F462" s="86"/>
      <c r="G462" s="75">
        <v>0.98333333333333328</v>
      </c>
      <c r="H462" s="75">
        <v>0.76271186440677963</v>
      </c>
      <c r="I462" s="75">
        <v>0.13559322033898305</v>
      </c>
      <c r="J462" s="75">
        <v>0.10169491525423729</v>
      </c>
      <c r="K462" s="75"/>
      <c r="L462" s="75"/>
      <c r="M462" s="6" t="s">
        <v>231</v>
      </c>
      <c r="N462" s="139">
        <v>52</v>
      </c>
      <c r="O462" s="140">
        <v>0.10483870967741936</v>
      </c>
      <c r="Q462" s="72"/>
      <c r="R462" s="72"/>
      <c r="S462" s="72"/>
    </row>
    <row r="463" spans="1:19" s="53" customFormat="1" ht="12.75" customHeight="1" x14ac:dyDescent="0.4">
      <c r="A463" s="73" t="s">
        <v>134</v>
      </c>
      <c r="B463" s="86">
        <v>63</v>
      </c>
      <c r="C463" s="86">
        <v>50</v>
      </c>
      <c r="D463" s="86">
        <v>9</v>
      </c>
      <c r="E463" s="86">
        <v>4</v>
      </c>
      <c r="F463" s="87"/>
      <c r="G463" s="75">
        <v>1</v>
      </c>
      <c r="H463" s="75">
        <v>0.79365079365079361</v>
      </c>
      <c r="I463" s="75">
        <v>0.14285714285714285</v>
      </c>
      <c r="J463" s="75">
        <v>6.3492063492063489E-2</v>
      </c>
      <c r="K463" s="75"/>
      <c r="L463" s="75"/>
      <c r="M463" s="6"/>
      <c r="N463" s="139"/>
      <c r="O463" s="140"/>
      <c r="Q463" s="72"/>
      <c r="R463" s="72"/>
    </row>
    <row r="464" spans="1:19" ht="12.75" customHeight="1" x14ac:dyDescent="0.4">
      <c r="A464" s="73" t="s">
        <v>135</v>
      </c>
      <c r="B464" s="86">
        <v>67</v>
      </c>
      <c r="C464" s="86">
        <v>56</v>
      </c>
      <c r="D464" s="86">
        <v>3</v>
      </c>
      <c r="E464" s="86">
        <v>8</v>
      </c>
      <c r="F464" s="87"/>
      <c r="G464" s="75">
        <v>1</v>
      </c>
      <c r="H464" s="75">
        <v>0.83582089552238803</v>
      </c>
      <c r="I464" s="75">
        <v>4.4776119402985072E-2</v>
      </c>
      <c r="J464" s="75">
        <v>0.11940298507462686</v>
      </c>
      <c r="K464" s="75"/>
      <c r="L464" s="75"/>
      <c r="M464" s="6"/>
      <c r="N464" s="139"/>
      <c r="O464" s="140"/>
      <c r="Q464" s="72"/>
      <c r="R464" s="72"/>
      <c r="S464" s="53"/>
    </row>
    <row r="465" spans="1:18" ht="12.75" customHeight="1" x14ac:dyDescent="0.4">
      <c r="A465" s="73" t="s">
        <v>382</v>
      </c>
      <c r="B465" s="86">
        <v>5</v>
      </c>
      <c r="C465" s="86">
        <v>1</v>
      </c>
      <c r="D465" s="86">
        <v>3</v>
      </c>
      <c r="E465" s="86">
        <v>1</v>
      </c>
      <c r="F465" s="87"/>
      <c r="G465" s="75">
        <v>1</v>
      </c>
      <c r="H465" s="75">
        <v>0.2</v>
      </c>
      <c r="I465" s="75">
        <v>0.6</v>
      </c>
      <c r="J465" s="75">
        <v>0.2</v>
      </c>
      <c r="K465" s="75"/>
      <c r="L465" s="75"/>
      <c r="M465" s="6"/>
      <c r="N465" s="75"/>
      <c r="O465" s="75"/>
      <c r="Q465" s="72"/>
      <c r="R465" s="72"/>
    </row>
    <row r="466" spans="1:18" ht="12.75" customHeight="1" x14ac:dyDescent="0.4">
      <c r="A466" s="73" t="s">
        <v>136</v>
      </c>
      <c r="B466" s="86">
        <v>28</v>
      </c>
      <c r="C466" s="86">
        <v>10</v>
      </c>
      <c r="D466" s="86">
        <v>12</v>
      </c>
      <c r="E466" s="86">
        <v>6</v>
      </c>
      <c r="F466" s="87"/>
      <c r="G466" s="75">
        <v>1</v>
      </c>
      <c r="H466" s="75">
        <v>0.35714285714285715</v>
      </c>
      <c r="I466" s="75">
        <v>0.42857142857142855</v>
      </c>
      <c r="J466" s="75">
        <v>0.21428571428571427</v>
      </c>
      <c r="K466" s="75"/>
      <c r="L466" s="75"/>
      <c r="M466" s="6"/>
      <c r="N466" s="75"/>
      <c r="O466" s="75"/>
      <c r="Q466" s="53"/>
      <c r="R466" s="53"/>
    </row>
    <row r="467" spans="1:18" ht="12.75" customHeight="1" x14ac:dyDescent="0.4">
      <c r="A467" s="73" t="s">
        <v>308</v>
      </c>
      <c r="B467" s="86">
        <v>29</v>
      </c>
      <c r="C467" s="86">
        <v>18</v>
      </c>
      <c r="D467" s="86">
        <v>10</v>
      </c>
      <c r="E467" s="86">
        <v>1</v>
      </c>
      <c r="F467" s="87"/>
      <c r="G467" s="75">
        <v>1</v>
      </c>
      <c r="H467" s="75">
        <v>0.62068965517241381</v>
      </c>
      <c r="I467" s="75">
        <v>0.34482758620689657</v>
      </c>
      <c r="J467" s="75">
        <v>3.4482758620689655E-2</v>
      </c>
      <c r="K467" s="75"/>
      <c r="L467" s="75"/>
      <c r="M467" s="73"/>
      <c r="N467" s="168"/>
      <c r="O467" s="75"/>
      <c r="Q467" s="53"/>
      <c r="R467" s="53"/>
    </row>
    <row r="468" spans="1:18" ht="12.75" customHeight="1" x14ac:dyDescent="0.4">
      <c r="A468" s="73" t="s">
        <v>24</v>
      </c>
      <c r="B468" s="87">
        <v>501</v>
      </c>
      <c r="C468" s="86">
        <v>337</v>
      </c>
      <c r="D468" s="86">
        <v>110</v>
      </c>
      <c r="E468" s="87">
        <v>54</v>
      </c>
      <c r="F468" s="72"/>
      <c r="G468" s="75">
        <v>0.99207920792079207</v>
      </c>
      <c r="H468" s="75">
        <v>0.67265469061876249</v>
      </c>
      <c r="I468" s="75">
        <v>0.21956087824351297</v>
      </c>
      <c r="J468" s="75">
        <v>0.10778443113772455</v>
      </c>
      <c r="K468" s="75"/>
      <c r="L468" s="75"/>
      <c r="M468" s="73"/>
      <c r="N468" s="168"/>
      <c r="O468" s="75"/>
    </row>
    <row r="469" spans="1:18" ht="12.75" customHeight="1" x14ac:dyDescent="0.4">
      <c r="A469" s="73"/>
      <c r="B469" s="87"/>
      <c r="C469" s="86"/>
      <c r="D469" s="86"/>
      <c r="E469" s="87"/>
      <c r="F469" s="72"/>
      <c r="G469" s="75"/>
      <c r="H469" s="75"/>
      <c r="I469" s="75"/>
      <c r="J469" s="75"/>
      <c r="K469" s="75"/>
      <c r="L469" s="75"/>
      <c r="M469" s="73"/>
      <c r="N469" s="168"/>
      <c r="O469" s="75"/>
    </row>
    <row r="470" spans="1:18" ht="12.75" customHeight="1" x14ac:dyDescent="0.4">
      <c r="A470" s="73"/>
      <c r="B470" s="87"/>
      <c r="C470" s="86"/>
      <c r="D470" s="86"/>
      <c r="E470" s="87"/>
      <c r="F470" s="72"/>
      <c r="G470" s="75"/>
      <c r="H470" s="75"/>
      <c r="I470" s="75"/>
      <c r="J470" s="75"/>
      <c r="K470" s="75"/>
      <c r="L470" s="75"/>
      <c r="M470" s="73"/>
      <c r="N470" s="168"/>
      <c r="O470" s="75"/>
    </row>
    <row r="471" spans="1:18" ht="12.75" customHeight="1" x14ac:dyDescent="0.4">
      <c r="A471" s="73"/>
      <c r="B471" s="87"/>
      <c r="C471" s="86"/>
      <c r="D471" s="86"/>
      <c r="E471" s="87"/>
      <c r="F471" s="72"/>
      <c r="G471" s="75"/>
      <c r="H471" s="75"/>
      <c r="I471" s="75"/>
      <c r="J471" s="75"/>
      <c r="K471" s="75"/>
      <c r="L471" s="75"/>
      <c r="M471" s="73"/>
      <c r="N471" s="168"/>
      <c r="O471" s="75"/>
    </row>
    <row r="472" spans="1:18" ht="12.75" customHeight="1" x14ac:dyDescent="0.4">
      <c r="A472" s="73" t="s">
        <v>316</v>
      </c>
      <c r="B472" s="72"/>
      <c r="C472" s="72"/>
      <c r="D472" s="72"/>
      <c r="E472" s="72"/>
      <c r="F472" s="72"/>
      <c r="G472" s="72"/>
      <c r="H472" s="72"/>
      <c r="I472" s="72"/>
      <c r="J472" s="72"/>
      <c r="K472" s="75"/>
      <c r="L472" s="75"/>
      <c r="M472" s="6"/>
      <c r="N472" s="6"/>
      <c r="O472" s="113"/>
    </row>
    <row r="473" spans="1:18" ht="12.75" customHeight="1" x14ac:dyDescent="0.4">
      <c r="A473" s="73" t="s">
        <v>328</v>
      </c>
      <c r="B473" s="72"/>
      <c r="C473" s="72"/>
      <c r="D473" s="72"/>
      <c r="E473" s="72"/>
      <c r="F473" s="72"/>
      <c r="G473" s="72"/>
      <c r="H473" s="72"/>
      <c r="I473" s="72"/>
      <c r="J473" s="72"/>
      <c r="K473" s="75"/>
      <c r="L473" s="75"/>
      <c r="M473" s="6"/>
      <c r="N473" s="6"/>
      <c r="O473" s="113"/>
    </row>
    <row r="474" spans="1:18" ht="12.75" customHeight="1" x14ac:dyDescent="0.4">
      <c r="A474" s="73" t="s">
        <v>281</v>
      </c>
      <c r="B474" s="72"/>
      <c r="C474" s="72"/>
      <c r="D474" s="72"/>
      <c r="E474" s="72"/>
      <c r="F474" s="72"/>
      <c r="G474" s="72"/>
      <c r="H474" s="72"/>
      <c r="I474" s="72"/>
      <c r="J474" s="72"/>
      <c r="K474" s="72"/>
      <c r="L474" s="75"/>
      <c r="M474" s="6"/>
      <c r="N474" s="6"/>
      <c r="O474" s="113"/>
    </row>
    <row r="475" spans="1:18" ht="12.75" customHeight="1" x14ac:dyDescent="0.4">
      <c r="A475" s="73" t="s">
        <v>327</v>
      </c>
      <c r="B475" s="72"/>
      <c r="C475" s="72"/>
      <c r="D475" s="72"/>
      <c r="E475" s="72"/>
      <c r="F475" s="72"/>
      <c r="G475" s="72"/>
      <c r="H475" s="72"/>
      <c r="I475" s="72"/>
      <c r="J475" s="72"/>
      <c r="K475" s="72"/>
      <c r="L475" s="72"/>
      <c r="M475" s="142"/>
      <c r="N475" s="142"/>
      <c r="O475" s="142"/>
    </row>
    <row r="476" spans="1:18" ht="12.75" customHeight="1" x14ac:dyDescent="0.4">
      <c r="A476" s="73" t="s">
        <v>319</v>
      </c>
      <c r="B476" s="72" t="s">
        <v>141</v>
      </c>
      <c r="C476" s="72"/>
      <c r="D476" s="72"/>
      <c r="E476" s="72"/>
      <c r="F476" s="86"/>
      <c r="G476" s="72" t="s">
        <v>148</v>
      </c>
      <c r="H476" s="72"/>
      <c r="I476" s="72"/>
      <c r="J476" s="72"/>
      <c r="K476" s="72"/>
      <c r="L476" s="72"/>
      <c r="M476" s="142" t="s">
        <v>286</v>
      </c>
      <c r="N476" s="142"/>
      <c r="O476" s="142"/>
    </row>
    <row r="477" spans="1:18" ht="12.75" customHeight="1" x14ac:dyDescent="0.4">
      <c r="A477" s="73" t="s">
        <v>137</v>
      </c>
      <c r="B477" s="74" t="s">
        <v>113</v>
      </c>
      <c r="C477" s="74" t="s">
        <v>114</v>
      </c>
      <c r="D477" s="74" t="s">
        <v>115</v>
      </c>
      <c r="E477" s="74" t="s">
        <v>116</v>
      </c>
      <c r="F477" s="86"/>
      <c r="G477" s="74" t="s">
        <v>113</v>
      </c>
      <c r="H477" s="74" t="s">
        <v>114</v>
      </c>
      <c r="I477" s="74" t="s">
        <v>115</v>
      </c>
      <c r="J477" s="74" t="s">
        <v>116</v>
      </c>
      <c r="K477" s="72"/>
      <c r="L477" s="72"/>
      <c r="M477" s="142" t="s">
        <v>320</v>
      </c>
      <c r="N477" s="169"/>
      <c r="O477" s="170"/>
    </row>
    <row r="478" spans="1:18" ht="12.75" customHeight="1" x14ac:dyDescent="0.4">
      <c r="A478" s="73" t="s">
        <v>128</v>
      </c>
      <c r="B478" s="86">
        <v>37</v>
      </c>
      <c r="C478" s="86">
        <v>26</v>
      </c>
      <c r="D478" s="86">
        <v>8</v>
      </c>
      <c r="E478" s="86">
        <v>3</v>
      </c>
      <c r="F478" s="86"/>
      <c r="G478" s="75">
        <v>1.0277777777777777</v>
      </c>
      <c r="H478" s="75">
        <v>0.70270270270270274</v>
      </c>
      <c r="I478" s="75">
        <v>0.21621621621621623</v>
      </c>
      <c r="J478" s="75">
        <v>8.1081081081081086E-2</v>
      </c>
      <c r="K478" s="72"/>
      <c r="L478" s="72"/>
      <c r="M478" s="142" t="s">
        <v>254</v>
      </c>
      <c r="N478" s="142"/>
      <c r="O478" s="142"/>
    </row>
    <row r="479" spans="1:18" ht="12.75" customHeight="1" x14ac:dyDescent="0.4">
      <c r="A479" s="73" t="s">
        <v>129</v>
      </c>
      <c r="B479" s="86">
        <v>26</v>
      </c>
      <c r="C479" s="86">
        <v>15</v>
      </c>
      <c r="D479" s="86">
        <v>9</v>
      </c>
      <c r="E479" s="86">
        <v>2</v>
      </c>
      <c r="F479" s="86"/>
      <c r="G479" s="75">
        <v>0.96296296296296291</v>
      </c>
      <c r="H479" s="75">
        <v>0.57692307692307687</v>
      </c>
      <c r="I479" s="75">
        <v>0.34615384615384615</v>
      </c>
      <c r="J479" s="75">
        <v>7.6923076923076927E-2</v>
      </c>
      <c r="K479" s="74"/>
      <c r="L479" s="74"/>
      <c r="M479" s="142" t="s">
        <v>205</v>
      </c>
      <c r="N479" s="157">
        <v>493</v>
      </c>
      <c r="O479" s="171" t="s">
        <v>206</v>
      </c>
    </row>
    <row r="480" spans="1:18" ht="12.75" customHeight="1" x14ac:dyDescent="0.4">
      <c r="A480" s="73" t="s">
        <v>130</v>
      </c>
      <c r="B480" s="86">
        <v>67</v>
      </c>
      <c r="C480" s="86">
        <v>47</v>
      </c>
      <c r="D480" s="86">
        <v>15</v>
      </c>
      <c r="E480" s="86">
        <v>5</v>
      </c>
      <c r="F480" s="86"/>
      <c r="G480" s="75">
        <v>1</v>
      </c>
      <c r="H480" s="75">
        <v>0.70149253731343286</v>
      </c>
      <c r="I480" s="75">
        <v>0.22388059701492538</v>
      </c>
      <c r="J480" s="75">
        <v>7.4626865671641784E-2</v>
      </c>
      <c r="K480" s="75"/>
      <c r="L480" s="75"/>
      <c r="M480" s="142" t="s">
        <v>317</v>
      </c>
      <c r="N480" s="169">
        <v>317</v>
      </c>
      <c r="O480" s="170">
        <v>0.64300202839756593</v>
      </c>
    </row>
    <row r="481" spans="1:15" ht="12.75" customHeight="1" x14ac:dyDescent="0.4">
      <c r="A481" s="73" t="s">
        <v>131</v>
      </c>
      <c r="B481" s="86">
        <v>83</v>
      </c>
      <c r="C481" s="86">
        <v>52</v>
      </c>
      <c r="D481" s="86">
        <v>22</v>
      </c>
      <c r="E481" s="86">
        <v>9</v>
      </c>
      <c r="F481" s="86"/>
      <c r="G481" s="75">
        <v>0.95402298850574707</v>
      </c>
      <c r="H481" s="75">
        <v>0.62650602409638556</v>
      </c>
      <c r="I481" s="75">
        <v>0.26506024096385544</v>
      </c>
      <c r="J481" s="75">
        <v>0.10843373493975904</v>
      </c>
      <c r="K481" s="75"/>
      <c r="L481" s="75"/>
      <c r="M481" s="142" t="s">
        <v>230</v>
      </c>
      <c r="N481" s="169">
        <v>117</v>
      </c>
      <c r="O481" s="170">
        <v>0.23732251521298176</v>
      </c>
    </row>
    <row r="482" spans="1:15" ht="12.75" customHeight="1" x14ac:dyDescent="0.4">
      <c r="A482" s="73" t="s">
        <v>132</v>
      </c>
      <c r="B482" s="86">
        <v>35</v>
      </c>
      <c r="C482" s="86">
        <v>25</v>
      </c>
      <c r="D482" s="86">
        <v>5</v>
      </c>
      <c r="E482" s="86">
        <v>5</v>
      </c>
      <c r="F482" s="86"/>
      <c r="G482" s="75">
        <v>0.94594594594594594</v>
      </c>
      <c r="H482" s="75">
        <v>0.7142857142857143</v>
      </c>
      <c r="I482" s="75">
        <v>0.14285714285714285</v>
      </c>
      <c r="J482" s="75">
        <v>0.14285714285714285</v>
      </c>
      <c r="K482" s="75"/>
      <c r="L482" s="75"/>
      <c r="M482" s="142" t="s">
        <v>318</v>
      </c>
      <c r="N482" s="169">
        <v>172</v>
      </c>
      <c r="O482" s="170">
        <v>0.34888438133874239</v>
      </c>
    </row>
    <row r="483" spans="1:15" ht="13.15" x14ac:dyDescent="0.4">
      <c r="A483" s="73" t="s">
        <v>133</v>
      </c>
      <c r="B483" s="86">
        <v>59</v>
      </c>
      <c r="C483" s="86">
        <v>41</v>
      </c>
      <c r="D483" s="86">
        <v>15</v>
      </c>
      <c r="E483" s="86">
        <v>3</v>
      </c>
      <c r="F483" s="86"/>
      <c r="G483" s="75">
        <v>1</v>
      </c>
      <c r="H483" s="75">
        <v>0.69491525423728817</v>
      </c>
      <c r="I483" s="75">
        <v>0.25423728813559321</v>
      </c>
      <c r="J483" s="75">
        <v>5.0847457627118647E-2</v>
      </c>
      <c r="K483" s="75"/>
      <c r="L483" s="75"/>
      <c r="M483" s="142" t="s">
        <v>231</v>
      </c>
      <c r="N483" s="169">
        <v>49</v>
      </c>
      <c r="O483" s="170">
        <v>9.9391480730223122E-2</v>
      </c>
    </row>
    <row r="484" spans="1:15" ht="13.15" x14ac:dyDescent="0.4">
      <c r="A484" s="73" t="s">
        <v>134</v>
      </c>
      <c r="B484" s="86">
        <v>64</v>
      </c>
      <c r="C484" s="86">
        <v>54</v>
      </c>
      <c r="D484" s="86">
        <v>6</v>
      </c>
      <c r="E484" s="86">
        <v>4</v>
      </c>
      <c r="F484" s="87"/>
      <c r="G484" s="75">
        <v>1</v>
      </c>
      <c r="H484" s="75">
        <v>0.84375</v>
      </c>
      <c r="I484" s="75">
        <v>9.375E-2</v>
      </c>
      <c r="J484" s="75">
        <v>6.25E-2</v>
      </c>
      <c r="K484" s="75"/>
      <c r="L484" s="75"/>
      <c r="M484" s="142"/>
      <c r="N484" s="169"/>
      <c r="O484" s="170"/>
    </row>
    <row r="485" spans="1:15" ht="13.15" x14ac:dyDescent="0.4">
      <c r="A485" s="73" t="s">
        <v>135</v>
      </c>
      <c r="B485" s="86">
        <v>66</v>
      </c>
      <c r="C485" s="86">
        <v>58</v>
      </c>
      <c r="D485" s="86">
        <v>4</v>
      </c>
      <c r="E485" s="86">
        <v>4</v>
      </c>
      <c r="F485" s="87"/>
      <c r="G485" s="75">
        <v>0.9850746268656716</v>
      </c>
      <c r="H485" s="75">
        <v>0.87878787878787878</v>
      </c>
      <c r="I485" s="75">
        <v>6.0606060606060608E-2</v>
      </c>
      <c r="J485" s="75">
        <v>6.0606060606060608E-2</v>
      </c>
      <c r="K485" s="75"/>
      <c r="L485" s="75"/>
      <c r="M485" s="142"/>
      <c r="N485" s="169"/>
      <c r="O485" s="170"/>
    </row>
    <row r="486" spans="1:15" ht="13.15" x14ac:dyDescent="0.4">
      <c r="A486" s="73" t="s">
        <v>382</v>
      </c>
      <c r="B486" s="86">
        <v>5</v>
      </c>
      <c r="C486" s="86">
        <v>2</v>
      </c>
      <c r="D486" s="86">
        <v>1</v>
      </c>
      <c r="E486" s="86">
        <v>2</v>
      </c>
      <c r="F486" s="87"/>
      <c r="G486" s="75">
        <v>1</v>
      </c>
      <c r="H486" s="75">
        <v>0.4</v>
      </c>
      <c r="I486" s="75">
        <v>0.2</v>
      </c>
      <c r="J486" s="75">
        <v>0.4</v>
      </c>
      <c r="K486" s="75"/>
      <c r="L486" s="75"/>
      <c r="M486" s="142"/>
      <c r="N486" s="169"/>
      <c r="O486" s="170"/>
    </row>
    <row r="487" spans="1:15" ht="13.15" x14ac:dyDescent="0.4">
      <c r="A487" s="73" t="s">
        <v>136</v>
      </c>
      <c r="B487" s="86">
        <v>28</v>
      </c>
      <c r="C487" s="86">
        <v>21</v>
      </c>
      <c r="D487" s="86">
        <v>6</v>
      </c>
      <c r="E487" s="86">
        <v>1</v>
      </c>
      <c r="F487" s="87"/>
      <c r="G487" s="75">
        <v>1</v>
      </c>
      <c r="H487" s="75">
        <v>0.75</v>
      </c>
      <c r="I487" s="75">
        <v>0.21428571428571427</v>
      </c>
      <c r="J487" s="75">
        <v>3.5714285714285712E-2</v>
      </c>
      <c r="K487" s="75"/>
      <c r="L487" s="75"/>
      <c r="M487" s="142"/>
      <c r="N487" s="169"/>
      <c r="O487" s="170"/>
    </row>
    <row r="488" spans="1:15" ht="12.75" customHeight="1" x14ac:dyDescent="0.4">
      <c r="A488" s="73" t="s">
        <v>308</v>
      </c>
      <c r="B488" s="86">
        <v>28</v>
      </c>
      <c r="C488" s="86">
        <v>10</v>
      </c>
      <c r="D488" s="86">
        <v>14</v>
      </c>
      <c r="E488" s="86">
        <v>4</v>
      </c>
      <c r="F488" s="87"/>
      <c r="G488" s="75">
        <v>1</v>
      </c>
      <c r="H488" s="75">
        <v>0.35714285714285715</v>
      </c>
      <c r="I488" s="75">
        <v>0.5</v>
      </c>
      <c r="J488" s="75">
        <v>0.14285714285714285</v>
      </c>
      <c r="K488" s="75"/>
      <c r="L488" s="75"/>
      <c r="M488" s="142"/>
      <c r="N488" s="169"/>
      <c r="O488" s="170"/>
    </row>
    <row r="489" spans="1:15" ht="15" x14ac:dyDescent="0.4">
      <c r="A489" s="73" t="s">
        <v>24</v>
      </c>
      <c r="B489" s="87">
        <v>498</v>
      </c>
      <c r="C489" s="86">
        <v>351</v>
      </c>
      <c r="D489" s="86">
        <v>105</v>
      </c>
      <c r="E489" s="87">
        <v>42</v>
      </c>
      <c r="F489" s="72"/>
      <c r="G489" s="75">
        <v>0.98613861386138613</v>
      </c>
      <c r="H489" s="75">
        <v>0.70481927710843373</v>
      </c>
      <c r="I489" s="75">
        <v>0.21084337349397592</v>
      </c>
      <c r="J489" s="75">
        <v>8.4337349397590355E-2</v>
      </c>
      <c r="K489" s="75"/>
      <c r="L489" s="75"/>
      <c r="M489" s="142"/>
      <c r="N489" s="142"/>
      <c r="O489" s="172"/>
    </row>
    <row r="490" spans="1:15" ht="15" x14ac:dyDescent="0.4">
      <c r="A490" s="73"/>
      <c r="B490" s="87"/>
      <c r="C490" s="86"/>
      <c r="D490" s="86"/>
      <c r="E490" s="87"/>
      <c r="F490" s="72"/>
      <c r="G490" s="75"/>
      <c r="H490" s="75"/>
      <c r="I490" s="75"/>
      <c r="J490" s="75"/>
      <c r="K490" s="75"/>
      <c r="L490" s="75"/>
      <c r="M490" s="142"/>
      <c r="N490" s="142"/>
      <c r="O490" s="172"/>
    </row>
    <row r="491" spans="1:15" ht="15" x14ac:dyDescent="0.4">
      <c r="A491" s="73"/>
      <c r="B491" s="87"/>
      <c r="C491" s="86"/>
      <c r="D491" s="86"/>
      <c r="E491" s="87"/>
      <c r="F491" s="72"/>
      <c r="G491" s="75"/>
      <c r="H491" s="75"/>
      <c r="I491" s="75"/>
      <c r="J491" s="75"/>
      <c r="K491" s="75"/>
      <c r="L491" s="75"/>
      <c r="M491" s="6"/>
      <c r="N491" s="6"/>
      <c r="O491" s="113"/>
    </row>
    <row r="492" spans="1:15" ht="15" x14ac:dyDescent="0.4">
      <c r="A492" s="73"/>
      <c r="B492" s="87"/>
      <c r="C492" s="87"/>
      <c r="D492" s="87"/>
      <c r="E492" s="87"/>
      <c r="F492" s="72"/>
      <c r="G492" s="75"/>
      <c r="H492" s="75"/>
      <c r="I492" s="75"/>
      <c r="J492" s="75"/>
      <c r="K492" s="75"/>
      <c r="L492" s="75"/>
      <c r="M492" s="6"/>
      <c r="N492" s="6"/>
      <c r="O492" s="113"/>
    </row>
    <row r="493" spans="1:15" ht="13.15" x14ac:dyDescent="0.4">
      <c r="A493" s="73" t="s">
        <v>307</v>
      </c>
      <c r="B493" s="72"/>
      <c r="C493" s="72"/>
      <c r="D493" s="72"/>
      <c r="E493" s="72"/>
      <c r="F493" s="72"/>
      <c r="G493" s="72"/>
      <c r="H493" s="72"/>
      <c r="I493" s="72"/>
      <c r="J493" s="72"/>
      <c r="K493" s="75"/>
      <c r="L493" s="75"/>
      <c r="M493" s="6"/>
      <c r="N493" s="6"/>
      <c r="O493" s="6"/>
    </row>
    <row r="494" spans="1:15" ht="13.15" x14ac:dyDescent="0.4">
      <c r="A494" s="73" t="s">
        <v>292</v>
      </c>
      <c r="B494" s="72"/>
      <c r="C494" s="72"/>
      <c r="D494" s="72"/>
      <c r="E494" s="72"/>
      <c r="F494" s="72"/>
      <c r="G494" s="72"/>
      <c r="H494" s="72"/>
      <c r="I494" s="72"/>
      <c r="J494" s="72"/>
      <c r="K494" s="72"/>
      <c r="L494" s="75"/>
      <c r="M494" s="6"/>
      <c r="N494" s="6"/>
      <c r="O494" s="6"/>
    </row>
    <row r="495" spans="1:15" ht="13.15" x14ac:dyDescent="0.4">
      <c r="A495" s="73" t="s">
        <v>305</v>
      </c>
      <c r="B495" s="72"/>
      <c r="C495" s="72"/>
      <c r="D495" s="72"/>
      <c r="E495" s="72"/>
      <c r="F495" s="72"/>
      <c r="G495" s="72"/>
      <c r="H495" s="72"/>
      <c r="I495" s="72"/>
      <c r="J495" s="72"/>
      <c r="K495" s="72"/>
      <c r="L495" s="72"/>
      <c r="M495" s="6"/>
      <c r="N495" s="6"/>
      <c r="O495" s="6"/>
    </row>
    <row r="496" spans="1:15" ht="13.15" x14ac:dyDescent="0.4">
      <c r="A496" s="73" t="s">
        <v>306</v>
      </c>
      <c r="B496" s="72"/>
      <c r="C496" s="72"/>
      <c r="D496" s="72"/>
      <c r="E496" s="72"/>
      <c r="F496" s="72"/>
      <c r="G496" s="72"/>
      <c r="H496" s="72"/>
      <c r="I496" s="72"/>
      <c r="J496" s="72"/>
      <c r="K496" s="72"/>
      <c r="L496" s="72"/>
      <c r="M496" s="6"/>
      <c r="N496" s="6"/>
      <c r="O496" s="6"/>
    </row>
    <row r="497" spans="1:15" ht="13.15" x14ac:dyDescent="0.4">
      <c r="A497" s="73" t="s">
        <v>294</v>
      </c>
      <c r="B497" s="72" t="s">
        <v>141</v>
      </c>
      <c r="C497" s="72"/>
      <c r="D497" s="72"/>
      <c r="E497" s="72"/>
      <c r="F497" s="86"/>
      <c r="G497" s="72" t="s">
        <v>148</v>
      </c>
      <c r="H497" s="72"/>
      <c r="I497" s="72"/>
      <c r="J497" s="72"/>
      <c r="K497" s="72"/>
      <c r="L497" s="72"/>
      <c r="M497" s="6" t="s">
        <v>285</v>
      </c>
      <c r="N497" s="6"/>
      <c r="O497" s="6"/>
    </row>
    <row r="498" spans="1:15" ht="13.15" x14ac:dyDescent="0.4">
      <c r="A498" s="73" t="s">
        <v>137</v>
      </c>
      <c r="B498" s="74" t="s">
        <v>113</v>
      </c>
      <c r="C498" s="74" t="s">
        <v>114</v>
      </c>
      <c r="D498" s="74" t="s">
        <v>115</v>
      </c>
      <c r="E498" s="74" t="s">
        <v>116</v>
      </c>
      <c r="F498" s="86"/>
      <c r="G498" s="74" t="s">
        <v>113</v>
      </c>
      <c r="H498" s="74" t="s">
        <v>114</v>
      </c>
      <c r="I498" s="74" t="s">
        <v>115</v>
      </c>
      <c r="J498" s="74" t="s">
        <v>116</v>
      </c>
      <c r="K498" s="72"/>
      <c r="L498" s="72"/>
      <c r="M498" s="6" t="s">
        <v>293</v>
      </c>
      <c r="N498" s="139"/>
      <c r="O498" s="140"/>
    </row>
    <row r="499" spans="1:15" ht="13.15" x14ac:dyDescent="0.4">
      <c r="A499" s="73" t="s">
        <v>128</v>
      </c>
      <c r="B499" s="86">
        <v>37</v>
      </c>
      <c r="C499" s="86">
        <v>25</v>
      </c>
      <c r="D499" s="86">
        <v>11</v>
      </c>
      <c r="E499" s="86">
        <v>1</v>
      </c>
      <c r="F499" s="86"/>
      <c r="G499" s="75">
        <v>1</v>
      </c>
      <c r="H499" s="75">
        <v>0.67567567567567566</v>
      </c>
      <c r="I499" s="75">
        <v>0.29729729729729731</v>
      </c>
      <c r="J499" s="75">
        <v>2.7027027027027029E-2</v>
      </c>
      <c r="K499" s="74"/>
      <c r="L499" s="74"/>
      <c r="M499" s="6" t="s">
        <v>254</v>
      </c>
      <c r="N499" s="6"/>
      <c r="O499" s="6"/>
    </row>
    <row r="500" spans="1:15" ht="13.15" x14ac:dyDescent="0.4">
      <c r="A500" s="73" t="s">
        <v>129</v>
      </c>
      <c r="B500" s="86">
        <v>26</v>
      </c>
      <c r="C500" s="86">
        <v>15</v>
      </c>
      <c r="D500" s="86">
        <v>9</v>
      </c>
      <c r="E500" s="86">
        <v>2</v>
      </c>
      <c r="F500" s="86"/>
      <c r="G500" s="75">
        <v>0.96296296296296291</v>
      </c>
      <c r="H500" s="75">
        <v>0.57692307692307687</v>
      </c>
      <c r="I500" s="75">
        <v>0.34615384615384615</v>
      </c>
      <c r="J500" s="75">
        <v>7.6923076923076927E-2</v>
      </c>
      <c r="K500" s="75"/>
      <c r="L500" s="75"/>
      <c r="M500" s="6" t="s">
        <v>205</v>
      </c>
      <c r="N500" s="76">
        <v>496</v>
      </c>
      <c r="O500" s="141" t="s">
        <v>206</v>
      </c>
    </row>
    <row r="501" spans="1:15" ht="13.15" x14ac:dyDescent="0.4">
      <c r="A501" s="73" t="s">
        <v>130</v>
      </c>
      <c r="B501" s="86">
        <v>68</v>
      </c>
      <c r="C501" s="86">
        <v>48</v>
      </c>
      <c r="D501" s="86">
        <v>12</v>
      </c>
      <c r="E501" s="86">
        <v>8</v>
      </c>
      <c r="F501" s="86"/>
      <c r="G501" s="75">
        <v>1</v>
      </c>
      <c r="H501" s="75">
        <v>0.70588235294117652</v>
      </c>
      <c r="I501" s="75">
        <v>0.17647058823529413</v>
      </c>
      <c r="J501" s="75">
        <v>0.11764705882352941</v>
      </c>
      <c r="K501" s="75"/>
      <c r="L501" s="75"/>
      <c r="M501" s="6" t="s">
        <v>300</v>
      </c>
      <c r="N501" s="139">
        <v>335</v>
      </c>
      <c r="O501" s="140">
        <v>0.67540322580645162</v>
      </c>
    </row>
    <row r="502" spans="1:15" ht="13.15" x14ac:dyDescent="0.4">
      <c r="A502" s="73" t="s">
        <v>131</v>
      </c>
      <c r="B502" s="86">
        <v>83</v>
      </c>
      <c r="C502" s="86">
        <v>59</v>
      </c>
      <c r="D502" s="86">
        <v>18</v>
      </c>
      <c r="E502" s="86">
        <v>6</v>
      </c>
      <c r="F502" s="86"/>
      <c r="G502" s="75">
        <v>0.95402298850574707</v>
      </c>
      <c r="H502" s="75">
        <v>0.71084337349397586</v>
      </c>
      <c r="I502" s="75">
        <v>0.21686746987951808</v>
      </c>
      <c r="J502" s="75">
        <v>7.2289156626506021E-2</v>
      </c>
      <c r="K502" s="75"/>
      <c r="L502" s="75"/>
      <c r="M502" s="6" t="s">
        <v>230</v>
      </c>
      <c r="N502" s="139">
        <v>132</v>
      </c>
      <c r="O502" s="140">
        <v>0.2661290322580645</v>
      </c>
    </row>
    <row r="503" spans="1:15" ht="13.15" x14ac:dyDescent="0.4">
      <c r="A503" s="73" t="s">
        <v>132</v>
      </c>
      <c r="B503" s="86">
        <v>36</v>
      </c>
      <c r="C503" s="86">
        <v>26</v>
      </c>
      <c r="D503" s="86">
        <v>7</v>
      </c>
      <c r="E503" s="86">
        <v>3</v>
      </c>
      <c r="F503" s="86"/>
      <c r="G503" s="75">
        <v>1</v>
      </c>
      <c r="H503" s="75">
        <v>0.72222222222222221</v>
      </c>
      <c r="I503" s="75">
        <v>0.19444444444444445</v>
      </c>
      <c r="J503" s="75">
        <v>8.3333333333333329E-2</v>
      </c>
      <c r="K503" s="75"/>
      <c r="L503" s="75"/>
      <c r="M503" s="6" t="s">
        <v>301</v>
      </c>
      <c r="N503" s="139">
        <v>156</v>
      </c>
      <c r="O503" s="140">
        <v>0.31451612903225806</v>
      </c>
    </row>
    <row r="504" spans="1:15" ht="13.15" x14ac:dyDescent="0.4">
      <c r="A504" s="73" t="s">
        <v>133</v>
      </c>
      <c r="B504" s="86">
        <v>56</v>
      </c>
      <c r="C504" s="86">
        <v>47</v>
      </c>
      <c r="D504" s="86">
        <v>4</v>
      </c>
      <c r="E504" s="86">
        <v>5</v>
      </c>
      <c r="F504" s="86"/>
      <c r="G504" s="75">
        <v>0.98245614035087714</v>
      </c>
      <c r="H504" s="75">
        <v>0.8392857142857143</v>
      </c>
      <c r="I504" s="75">
        <v>7.1428571428571425E-2</v>
      </c>
      <c r="J504" s="75">
        <v>8.9285714285714288E-2</v>
      </c>
      <c r="K504" s="75"/>
      <c r="L504" s="75"/>
      <c r="M504" s="6" t="s">
        <v>231</v>
      </c>
      <c r="N504" s="139">
        <v>52</v>
      </c>
      <c r="O504" s="140">
        <v>0.10483870967741936</v>
      </c>
    </row>
    <row r="505" spans="1:15" ht="13.15" x14ac:dyDescent="0.4">
      <c r="A505" s="73" t="s">
        <v>134</v>
      </c>
      <c r="B505" s="86">
        <v>92</v>
      </c>
      <c r="C505" s="86">
        <v>51</v>
      </c>
      <c r="D505" s="86">
        <v>31</v>
      </c>
      <c r="E505" s="86">
        <v>10</v>
      </c>
      <c r="F505" s="87"/>
      <c r="G505" s="75">
        <v>1</v>
      </c>
      <c r="H505" s="75">
        <v>0.55434782608695654</v>
      </c>
      <c r="I505" s="75">
        <v>0.33695652173913043</v>
      </c>
      <c r="J505" s="75">
        <v>0.10869565217391304</v>
      </c>
      <c r="K505" s="75"/>
      <c r="L505" s="75"/>
      <c r="M505" s="6"/>
      <c r="N505" s="139"/>
      <c r="O505" s="140"/>
    </row>
    <row r="506" spans="1:15" ht="13.15" x14ac:dyDescent="0.4">
      <c r="A506" s="73" t="s">
        <v>135</v>
      </c>
      <c r="B506" s="86">
        <v>67</v>
      </c>
      <c r="C506" s="86">
        <v>58</v>
      </c>
      <c r="D506" s="86">
        <v>3</v>
      </c>
      <c r="E506" s="86">
        <v>6</v>
      </c>
      <c r="F506" s="87"/>
      <c r="G506" s="75">
        <v>0.98529411764705888</v>
      </c>
      <c r="H506" s="75">
        <v>0.86567164179104472</v>
      </c>
      <c r="I506" s="75">
        <v>4.4776119402985072E-2</v>
      </c>
      <c r="J506" s="75">
        <v>8.9552238805970144E-2</v>
      </c>
      <c r="K506" s="75"/>
      <c r="L506" s="75"/>
      <c r="M506" s="6"/>
      <c r="N506" s="139"/>
      <c r="O506" s="140"/>
    </row>
    <row r="507" spans="1:15" ht="13.15" x14ac:dyDescent="0.4">
      <c r="A507" s="73" t="s">
        <v>382</v>
      </c>
      <c r="B507" s="86">
        <v>5</v>
      </c>
      <c r="C507" s="86">
        <v>4</v>
      </c>
      <c r="D507" s="86">
        <v>0</v>
      </c>
      <c r="E507" s="86">
        <v>1</v>
      </c>
      <c r="F507" s="87"/>
      <c r="G507" s="75">
        <v>1</v>
      </c>
      <c r="H507" s="75">
        <v>0.8</v>
      </c>
      <c r="I507" s="75">
        <v>0</v>
      </c>
      <c r="J507" s="75">
        <v>0.2</v>
      </c>
      <c r="K507" s="75"/>
      <c r="L507" s="75"/>
      <c r="M507" s="6"/>
      <c r="N507" s="139"/>
      <c r="O507" s="140"/>
    </row>
    <row r="508" spans="1:15" ht="13.15" x14ac:dyDescent="0.4">
      <c r="A508" s="73" t="s">
        <v>136</v>
      </c>
      <c r="B508" s="86">
        <v>27</v>
      </c>
      <c r="C508" s="86">
        <v>16</v>
      </c>
      <c r="D508" s="86">
        <v>9</v>
      </c>
      <c r="E508" s="86">
        <v>2</v>
      </c>
      <c r="F508" s="87"/>
      <c r="G508" s="75">
        <v>0.9642857142857143</v>
      </c>
      <c r="H508" s="75">
        <v>0.59259259259259256</v>
      </c>
      <c r="I508" s="75">
        <v>0.33333333333333331</v>
      </c>
      <c r="J508" s="75">
        <v>7.407407407407407E-2</v>
      </c>
      <c r="K508" s="75"/>
      <c r="L508" s="75"/>
      <c r="M508" s="6"/>
      <c r="N508" s="139"/>
      <c r="O508" s="140"/>
    </row>
    <row r="509" spans="1:15" ht="15" x14ac:dyDescent="0.4">
      <c r="A509" s="73" t="s">
        <v>24</v>
      </c>
      <c r="B509" s="87">
        <v>497</v>
      </c>
      <c r="C509" s="86">
        <v>349</v>
      </c>
      <c r="D509" s="86">
        <v>104</v>
      </c>
      <c r="E509" s="87">
        <v>44</v>
      </c>
      <c r="F509" s="72"/>
      <c r="G509" s="75">
        <v>0.98611111111111116</v>
      </c>
      <c r="H509" s="75">
        <v>0.70221327967806846</v>
      </c>
      <c r="I509" s="75">
        <v>0.20925553319919518</v>
      </c>
      <c r="J509" s="75">
        <v>8.8531187122736416E-2</v>
      </c>
      <c r="K509" s="75"/>
      <c r="L509" s="75"/>
      <c r="M509" s="6"/>
      <c r="N509" s="6"/>
      <c r="O509" s="113"/>
    </row>
    <row r="510" spans="1:15" ht="15" x14ac:dyDescent="0.4">
      <c r="A510" s="73"/>
      <c r="B510" s="87"/>
      <c r="C510" s="86"/>
      <c r="D510" s="86"/>
      <c r="E510" s="87"/>
      <c r="F510" s="72"/>
      <c r="G510" s="75"/>
      <c r="H510" s="75"/>
      <c r="I510" s="75"/>
      <c r="J510" s="75"/>
      <c r="K510" s="75"/>
      <c r="L510" s="75"/>
      <c r="M510" s="6"/>
      <c r="N510" s="6"/>
      <c r="O510" s="113"/>
    </row>
    <row r="511" spans="1:15" ht="13.15" x14ac:dyDescent="0.4">
      <c r="A511" s="73"/>
      <c r="B511" s="87"/>
      <c r="C511" s="86"/>
      <c r="D511" s="86"/>
      <c r="E511" s="87"/>
      <c r="F511" s="72"/>
      <c r="G511" s="75"/>
      <c r="H511" s="75"/>
      <c r="I511" s="75"/>
      <c r="J511" s="75"/>
      <c r="K511" s="75"/>
      <c r="L511" s="75"/>
      <c r="M511" s="6"/>
      <c r="N511" s="138"/>
      <c r="O511" s="141"/>
    </row>
    <row r="512" spans="1:15" ht="13.15" x14ac:dyDescent="0.4">
      <c r="A512" s="73"/>
      <c r="B512" s="87"/>
      <c r="C512" s="87"/>
      <c r="D512" s="87"/>
      <c r="E512" s="87"/>
      <c r="F512" s="72"/>
      <c r="G512" s="75"/>
      <c r="H512" s="75"/>
      <c r="I512" s="75"/>
      <c r="J512" s="75"/>
      <c r="K512" s="75"/>
      <c r="L512" s="75"/>
      <c r="M512" s="6"/>
      <c r="N512" s="139"/>
      <c r="O512" s="140"/>
    </row>
    <row r="513" spans="1:15" ht="13.15" x14ac:dyDescent="0.4">
      <c r="A513" s="73" t="s">
        <v>291</v>
      </c>
      <c r="B513" s="72"/>
      <c r="C513" s="72"/>
      <c r="D513" s="72"/>
      <c r="E513" s="72"/>
      <c r="F513" s="72"/>
      <c r="G513" s="72"/>
      <c r="H513" s="72"/>
      <c r="I513" s="72"/>
      <c r="J513" s="72"/>
      <c r="K513" s="75"/>
      <c r="L513" s="75"/>
      <c r="M513" s="6"/>
      <c r="N513" s="6"/>
      <c r="O513" s="6"/>
    </row>
    <row r="514" spans="1:15" ht="13.15" x14ac:dyDescent="0.4">
      <c r="A514" s="73" t="s">
        <v>283</v>
      </c>
      <c r="B514" s="72"/>
      <c r="C514" s="72"/>
      <c r="D514" s="72"/>
      <c r="E514" s="72"/>
      <c r="F514" s="72"/>
      <c r="G514" s="72"/>
      <c r="H514" s="72"/>
      <c r="I514" s="72"/>
      <c r="J514" s="72"/>
      <c r="K514" s="72"/>
      <c r="L514" s="75"/>
      <c r="M514" s="6"/>
      <c r="N514" s="6"/>
      <c r="O514" s="6"/>
    </row>
    <row r="515" spans="1:15" ht="13.15" x14ac:dyDescent="0.4">
      <c r="A515" s="73" t="s">
        <v>265</v>
      </c>
      <c r="B515" s="72"/>
      <c r="C515" s="72"/>
      <c r="D515" s="72"/>
      <c r="E515" s="72"/>
      <c r="F515" s="72"/>
      <c r="G515" s="72"/>
      <c r="H515" s="72"/>
      <c r="I515" s="72"/>
      <c r="J515" s="72"/>
      <c r="K515" s="72"/>
      <c r="L515" s="72"/>
      <c r="M515" s="6"/>
      <c r="N515" s="6"/>
      <c r="O515" s="6"/>
    </row>
    <row r="516" spans="1:15" ht="13.15" x14ac:dyDescent="0.4">
      <c r="A516" s="73" t="s">
        <v>290</v>
      </c>
      <c r="B516" s="72"/>
      <c r="C516" s="72"/>
      <c r="D516" s="72"/>
      <c r="E516" s="72"/>
      <c r="F516" s="72"/>
      <c r="G516" s="72"/>
      <c r="H516" s="72"/>
      <c r="I516" s="72"/>
      <c r="J516" s="72"/>
      <c r="K516" s="72"/>
      <c r="L516" s="72"/>
      <c r="M516" s="6"/>
      <c r="N516" s="6"/>
      <c r="O516" s="6"/>
    </row>
    <row r="517" spans="1:15" ht="13.15" x14ac:dyDescent="0.4">
      <c r="A517" s="73" t="s">
        <v>295</v>
      </c>
      <c r="B517" s="72" t="s">
        <v>141</v>
      </c>
      <c r="C517" s="72"/>
      <c r="D517" s="72"/>
      <c r="E517" s="72"/>
      <c r="F517" s="86"/>
      <c r="G517" s="72" t="s">
        <v>148</v>
      </c>
      <c r="H517" s="72"/>
      <c r="I517" s="72"/>
      <c r="J517" s="72"/>
      <c r="K517" s="72"/>
      <c r="L517" s="72"/>
      <c r="M517" s="6" t="s">
        <v>284</v>
      </c>
      <c r="N517" s="6"/>
      <c r="O517" s="6"/>
    </row>
    <row r="518" spans="1:15" ht="13.15" x14ac:dyDescent="0.4">
      <c r="A518" s="73" t="s">
        <v>137</v>
      </c>
      <c r="B518" s="74" t="s">
        <v>113</v>
      </c>
      <c r="C518" s="74" t="s">
        <v>114</v>
      </c>
      <c r="D518" s="74" t="s">
        <v>115</v>
      </c>
      <c r="E518" s="74" t="s">
        <v>116</v>
      </c>
      <c r="F518" s="86"/>
      <c r="G518" s="74" t="s">
        <v>113</v>
      </c>
      <c r="H518" s="74" t="s">
        <v>114</v>
      </c>
      <c r="I518" s="74" t="s">
        <v>115</v>
      </c>
      <c r="J518" s="74" t="s">
        <v>116</v>
      </c>
      <c r="K518" s="74"/>
      <c r="L518" s="74"/>
      <c r="M518" s="6" t="s">
        <v>288</v>
      </c>
      <c r="N518" s="139"/>
      <c r="O518" s="140"/>
    </row>
    <row r="519" spans="1:15" ht="13.15" x14ac:dyDescent="0.4">
      <c r="A519" s="73" t="s">
        <v>128</v>
      </c>
      <c r="B519" s="86">
        <v>38</v>
      </c>
      <c r="C519" s="86">
        <v>23</v>
      </c>
      <c r="D519" s="86">
        <v>13</v>
      </c>
      <c r="E519" s="86">
        <v>2</v>
      </c>
      <c r="F519" s="86"/>
      <c r="G519" s="75">
        <v>0.97435897435897434</v>
      </c>
      <c r="H519" s="75">
        <v>0.60526315789473684</v>
      </c>
      <c r="I519" s="75">
        <v>0.34210526315789475</v>
      </c>
      <c r="J519" s="75">
        <v>5.2631578947368418E-2</v>
      </c>
      <c r="K519" s="75"/>
      <c r="L519" s="75"/>
      <c r="M519" s="6" t="s">
        <v>254</v>
      </c>
      <c r="N519" s="6"/>
      <c r="O519" s="6"/>
    </row>
    <row r="520" spans="1:15" ht="13.15" x14ac:dyDescent="0.4">
      <c r="A520" s="73" t="s">
        <v>129</v>
      </c>
      <c r="B520" s="86">
        <v>27</v>
      </c>
      <c r="C520" s="86">
        <v>21</v>
      </c>
      <c r="D520" s="86">
        <v>4</v>
      </c>
      <c r="E520" s="86">
        <v>2</v>
      </c>
      <c r="F520" s="86"/>
      <c r="G520" s="75">
        <v>1</v>
      </c>
      <c r="H520" s="75">
        <v>0.77777777777777779</v>
      </c>
      <c r="I520" s="75">
        <v>0.14814814814814814</v>
      </c>
      <c r="J520" s="75">
        <v>7.407407407407407E-2</v>
      </c>
      <c r="K520" s="75"/>
      <c r="L520" s="75"/>
      <c r="M520" s="6" t="s">
        <v>205</v>
      </c>
      <c r="N520" s="76">
        <v>497</v>
      </c>
      <c r="O520" s="141" t="s">
        <v>206</v>
      </c>
    </row>
    <row r="521" spans="1:15" ht="13.15" x14ac:dyDescent="0.4">
      <c r="A521" s="73" t="s">
        <v>130</v>
      </c>
      <c r="B521" s="86">
        <v>65</v>
      </c>
      <c r="C521" s="86">
        <v>49</v>
      </c>
      <c r="D521" s="86">
        <v>11</v>
      </c>
      <c r="E521" s="86">
        <v>5</v>
      </c>
      <c r="F521" s="86"/>
      <c r="G521" s="75">
        <v>1</v>
      </c>
      <c r="H521" s="75">
        <v>0.75384615384615383</v>
      </c>
      <c r="I521" s="75">
        <v>0.16923076923076924</v>
      </c>
      <c r="J521" s="75">
        <v>7.6923076923076927E-2</v>
      </c>
      <c r="K521" s="75"/>
      <c r="L521" s="75"/>
      <c r="M521" s="6" t="s">
        <v>298</v>
      </c>
      <c r="N521" s="139">
        <v>341</v>
      </c>
      <c r="O521" s="140">
        <v>0.6861167002012073</v>
      </c>
    </row>
    <row r="522" spans="1:15" ht="13.15" x14ac:dyDescent="0.4">
      <c r="A522" s="73" t="s">
        <v>131</v>
      </c>
      <c r="B522" s="86">
        <v>83</v>
      </c>
      <c r="C522" s="86">
        <v>66</v>
      </c>
      <c r="D522" s="86">
        <v>11</v>
      </c>
      <c r="E522" s="86">
        <v>6</v>
      </c>
      <c r="F522" s="86"/>
      <c r="G522" s="75">
        <v>0.96511627906976749</v>
      </c>
      <c r="H522" s="75">
        <v>0.79518072289156627</v>
      </c>
      <c r="I522" s="75">
        <v>0.13253012048192772</v>
      </c>
      <c r="J522" s="75">
        <v>7.2289156626506021E-2</v>
      </c>
      <c r="K522" s="75"/>
      <c r="L522" s="75"/>
      <c r="M522" s="6" t="s">
        <v>230</v>
      </c>
      <c r="N522" s="139">
        <v>140</v>
      </c>
      <c r="O522" s="140">
        <v>0.28169014084507044</v>
      </c>
    </row>
    <row r="523" spans="1:15" ht="13.15" x14ac:dyDescent="0.4">
      <c r="A523" s="73" t="s">
        <v>132</v>
      </c>
      <c r="B523" s="86">
        <v>37</v>
      </c>
      <c r="C523" s="86">
        <v>32</v>
      </c>
      <c r="D523" s="86">
        <v>3</v>
      </c>
      <c r="E523" s="86">
        <v>2</v>
      </c>
      <c r="F523" s="86"/>
      <c r="G523" s="75">
        <v>1</v>
      </c>
      <c r="H523" s="75">
        <v>0.86486486486486491</v>
      </c>
      <c r="I523" s="75">
        <v>8.1081081081081086E-2</v>
      </c>
      <c r="J523" s="75">
        <v>5.4054054054054057E-2</v>
      </c>
      <c r="K523" s="75"/>
      <c r="L523" s="75"/>
      <c r="M523" s="6" t="s">
        <v>299</v>
      </c>
      <c r="N523" s="139">
        <v>151</v>
      </c>
      <c r="O523" s="140">
        <v>0.30382293762575452</v>
      </c>
    </row>
    <row r="524" spans="1:15" ht="13.15" x14ac:dyDescent="0.4">
      <c r="A524" s="73" t="s">
        <v>133</v>
      </c>
      <c r="B524" s="86">
        <v>58</v>
      </c>
      <c r="C524" s="86">
        <v>51</v>
      </c>
      <c r="D524" s="86">
        <v>5</v>
      </c>
      <c r="E524" s="86">
        <v>2</v>
      </c>
      <c r="F524" s="86"/>
      <c r="G524" s="75">
        <v>1</v>
      </c>
      <c r="H524" s="75">
        <v>0.87931034482758619</v>
      </c>
      <c r="I524" s="75">
        <v>8.6206896551724144E-2</v>
      </c>
      <c r="J524" s="75">
        <v>3.4482758620689655E-2</v>
      </c>
      <c r="K524" s="75"/>
      <c r="L524" s="75"/>
      <c r="M524" s="6" t="s">
        <v>231</v>
      </c>
      <c r="N524" s="139">
        <v>50</v>
      </c>
      <c r="O524" s="140">
        <v>0.1006036217303823</v>
      </c>
    </row>
    <row r="525" spans="1:15" ht="13.15" x14ac:dyDescent="0.4">
      <c r="A525" s="73" t="s">
        <v>134</v>
      </c>
      <c r="B525" s="86">
        <v>90</v>
      </c>
      <c r="C525" s="86">
        <v>50</v>
      </c>
      <c r="D525" s="86">
        <v>32</v>
      </c>
      <c r="E525" s="86">
        <v>8</v>
      </c>
      <c r="F525" s="87"/>
      <c r="G525" s="75">
        <v>1</v>
      </c>
      <c r="H525" s="75">
        <v>0.55555555555555558</v>
      </c>
      <c r="I525" s="75">
        <v>0.35555555555555557</v>
      </c>
      <c r="J525" s="75">
        <v>8.8888888888888892E-2</v>
      </c>
      <c r="K525" s="75"/>
      <c r="L525" s="75"/>
      <c r="M525" s="6"/>
      <c r="N525" s="139"/>
      <c r="O525" s="140"/>
    </row>
    <row r="526" spans="1:15" ht="13.15" x14ac:dyDescent="0.4">
      <c r="A526" s="73" t="s">
        <v>135</v>
      </c>
      <c r="B526" s="86">
        <v>67</v>
      </c>
      <c r="C526" s="86">
        <v>51</v>
      </c>
      <c r="D526" s="86">
        <v>12</v>
      </c>
      <c r="E526" s="86">
        <v>4</v>
      </c>
      <c r="F526" s="87"/>
      <c r="G526" s="75">
        <v>0.98529411764705888</v>
      </c>
      <c r="H526" s="75">
        <v>0.76119402985074625</v>
      </c>
      <c r="I526" s="75">
        <v>0.17910447761194029</v>
      </c>
      <c r="J526" s="75">
        <v>5.9701492537313432E-2</v>
      </c>
      <c r="K526" s="75"/>
      <c r="L526" s="75"/>
      <c r="M526" s="6"/>
      <c r="N526" s="139"/>
      <c r="O526" s="140"/>
    </row>
    <row r="527" spans="1:15" ht="13.15" x14ac:dyDescent="0.4">
      <c r="A527" s="73" t="s">
        <v>382</v>
      </c>
      <c r="B527" s="86">
        <v>5</v>
      </c>
      <c r="C527" s="86">
        <v>4</v>
      </c>
      <c r="D527" s="86">
        <v>0</v>
      </c>
      <c r="E527" s="86">
        <v>1</v>
      </c>
      <c r="F527" s="87"/>
      <c r="G527" s="75">
        <v>1</v>
      </c>
      <c r="H527" s="75">
        <v>0.8</v>
      </c>
      <c r="I527" s="75">
        <v>0</v>
      </c>
      <c r="J527" s="75">
        <v>0.2</v>
      </c>
      <c r="K527" s="75"/>
      <c r="L527" s="75"/>
      <c r="M527" s="6"/>
      <c r="N527" s="139"/>
      <c r="O527" s="140"/>
    </row>
    <row r="528" spans="1:15" ht="13.15" x14ac:dyDescent="0.4">
      <c r="A528" s="73" t="s">
        <v>136</v>
      </c>
      <c r="B528" s="86">
        <v>29</v>
      </c>
      <c r="C528" s="86">
        <v>14</v>
      </c>
      <c r="D528" s="86">
        <v>12</v>
      </c>
      <c r="E528" s="86">
        <v>3</v>
      </c>
      <c r="F528" s="87"/>
      <c r="G528" s="75">
        <v>1</v>
      </c>
      <c r="H528" s="75">
        <v>0.48275862068965519</v>
      </c>
      <c r="I528" s="75">
        <v>0.41379310344827586</v>
      </c>
      <c r="J528" s="75">
        <v>0.10344827586206896</v>
      </c>
      <c r="K528" s="75"/>
      <c r="L528" s="75"/>
      <c r="M528" s="6"/>
      <c r="N528" s="139"/>
      <c r="O528" s="140"/>
    </row>
    <row r="529" spans="1:15" ht="15" x14ac:dyDescent="0.4">
      <c r="A529" s="73" t="s">
        <v>24</v>
      </c>
      <c r="B529" s="87">
        <v>499</v>
      </c>
      <c r="C529" s="86">
        <v>361</v>
      </c>
      <c r="D529" s="86">
        <v>103</v>
      </c>
      <c r="E529" s="87">
        <v>35</v>
      </c>
      <c r="F529" s="72"/>
      <c r="G529" s="75">
        <v>0.99007936507936511</v>
      </c>
      <c r="H529" s="75">
        <v>0.7234468937875751</v>
      </c>
      <c r="I529" s="75">
        <v>0.20641282565130262</v>
      </c>
      <c r="J529" s="75">
        <v>7.0140280561122245E-2</v>
      </c>
      <c r="K529" s="75"/>
      <c r="L529" s="75"/>
      <c r="M529" s="6"/>
      <c r="N529" s="6"/>
      <c r="O529" s="113"/>
    </row>
    <row r="530" spans="1:15" ht="15" x14ac:dyDescent="0.4">
      <c r="A530" s="73"/>
      <c r="B530" s="87"/>
      <c r="C530" s="86"/>
      <c r="D530" s="86"/>
      <c r="E530" s="87"/>
      <c r="F530" s="72"/>
      <c r="G530" s="75"/>
      <c r="H530" s="75"/>
      <c r="I530" s="75"/>
      <c r="J530" s="75"/>
      <c r="K530" s="75"/>
      <c r="L530" s="75"/>
      <c r="M530" s="6"/>
      <c r="N530" s="6"/>
      <c r="O530" s="113"/>
    </row>
    <row r="531" spans="1:15" ht="13.15" x14ac:dyDescent="0.4">
      <c r="A531" s="73"/>
      <c r="B531" s="87"/>
      <c r="C531" s="86"/>
      <c r="D531" s="86"/>
      <c r="E531" s="87"/>
      <c r="F531" s="72"/>
      <c r="G531" s="75"/>
      <c r="H531" s="75"/>
      <c r="I531" s="75"/>
      <c r="J531" s="75"/>
      <c r="K531" s="75"/>
      <c r="L531" s="75"/>
      <c r="M531" s="6"/>
      <c r="N531" s="138"/>
      <c r="O531" s="141"/>
    </row>
    <row r="532" spans="1:15" ht="13.15" x14ac:dyDescent="0.4">
      <c r="A532" s="73"/>
      <c r="B532" s="87"/>
      <c r="C532" s="87"/>
      <c r="D532" s="87"/>
      <c r="E532" s="87"/>
      <c r="F532" s="72"/>
      <c r="G532" s="75"/>
      <c r="H532" s="75"/>
      <c r="I532" s="75"/>
      <c r="J532" s="75"/>
      <c r="K532" s="75"/>
      <c r="L532" s="75"/>
      <c r="M532" s="6"/>
      <c r="N532" s="139"/>
      <c r="O532" s="140"/>
    </row>
    <row r="533" spans="1:15" ht="13.15" x14ac:dyDescent="0.4">
      <c r="A533" s="73" t="s">
        <v>276</v>
      </c>
      <c r="B533" s="72"/>
      <c r="C533" s="72"/>
      <c r="D533" s="72"/>
      <c r="E533" s="72"/>
      <c r="F533" s="72"/>
      <c r="G533" s="72"/>
      <c r="H533" s="72"/>
      <c r="I533" s="72"/>
      <c r="J533" s="72"/>
      <c r="K533" s="72"/>
      <c r="L533" s="75"/>
      <c r="M533" s="6"/>
      <c r="N533" s="6"/>
      <c r="O533" s="6"/>
    </row>
    <row r="534" spans="1:15" ht="13.15" x14ac:dyDescent="0.4">
      <c r="A534" s="73" t="s">
        <v>281</v>
      </c>
      <c r="B534" s="72"/>
      <c r="C534" s="72"/>
      <c r="D534" s="72"/>
      <c r="E534" s="72"/>
      <c r="F534" s="72"/>
      <c r="G534" s="72"/>
      <c r="H534" s="72"/>
      <c r="I534" s="72"/>
      <c r="J534" s="72"/>
      <c r="K534" s="72"/>
      <c r="L534" s="72"/>
      <c r="M534" s="6"/>
      <c r="N534" s="6"/>
      <c r="O534" s="6"/>
    </row>
    <row r="535" spans="1:15" ht="13.15" x14ac:dyDescent="0.4">
      <c r="A535" s="73" t="s">
        <v>282</v>
      </c>
      <c r="B535" s="72"/>
      <c r="C535" s="72"/>
      <c r="D535" s="72"/>
      <c r="E535" s="72"/>
      <c r="F535" s="72"/>
      <c r="G535" s="72"/>
      <c r="H535" s="72"/>
      <c r="I535" s="72"/>
      <c r="J535" s="72"/>
      <c r="K535" s="72"/>
      <c r="L535" s="72"/>
      <c r="M535" s="6"/>
      <c r="N535" s="6"/>
      <c r="O535" s="6"/>
    </row>
    <row r="536" spans="1:15" ht="13.15" x14ac:dyDescent="0.4">
      <c r="A536" s="73" t="s">
        <v>279</v>
      </c>
      <c r="B536" s="72" t="s">
        <v>141</v>
      </c>
      <c r="C536" s="72"/>
      <c r="D536" s="72"/>
      <c r="E536" s="72"/>
      <c r="F536" s="86"/>
      <c r="G536" s="72" t="s">
        <v>148</v>
      </c>
      <c r="H536" s="72"/>
      <c r="I536" s="72"/>
      <c r="J536" s="72"/>
      <c r="K536" s="72"/>
      <c r="L536" s="72"/>
      <c r="M536" s="6" t="s">
        <v>274</v>
      </c>
      <c r="N536" s="6"/>
      <c r="O536" s="6"/>
    </row>
    <row r="537" spans="1:15" ht="13.15" x14ac:dyDescent="0.4">
      <c r="A537" s="73" t="s">
        <v>137</v>
      </c>
      <c r="B537" s="74" t="s">
        <v>113</v>
      </c>
      <c r="C537" s="74" t="s">
        <v>114</v>
      </c>
      <c r="D537" s="74" t="s">
        <v>115</v>
      </c>
      <c r="E537" s="74" t="s">
        <v>116</v>
      </c>
      <c r="F537" s="86"/>
      <c r="G537" s="74" t="s">
        <v>113</v>
      </c>
      <c r="H537" s="74" t="s">
        <v>114</v>
      </c>
      <c r="I537" s="74" t="s">
        <v>115</v>
      </c>
      <c r="J537" s="74" t="s">
        <v>116</v>
      </c>
      <c r="K537" s="74"/>
      <c r="L537" s="74"/>
      <c r="M537" s="6" t="s">
        <v>275</v>
      </c>
      <c r="N537" s="139"/>
      <c r="O537" s="140"/>
    </row>
    <row r="538" spans="1:15" ht="13.15" x14ac:dyDescent="0.4">
      <c r="A538" s="73" t="s">
        <v>128</v>
      </c>
      <c r="B538" s="86">
        <v>40</v>
      </c>
      <c r="C538" s="86">
        <v>28</v>
      </c>
      <c r="D538" s="86">
        <v>11</v>
      </c>
      <c r="E538" s="86">
        <v>1</v>
      </c>
      <c r="F538" s="86"/>
      <c r="G538" s="75">
        <f>B538/40</f>
        <v>1</v>
      </c>
      <c r="H538" s="75">
        <f>C538/B538</f>
        <v>0.7</v>
      </c>
      <c r="I538" s="75">
        <f>D538/B538</f>
        <v>0.27500000000000002</v>
      </c>
      <c r="J538" s="75">
        <f>E538/B538</f>
        <v>2.5000000000000001E-2</v>
      </c>
      <c r="K538" s="75"/>
      <c r="L538" s="75"/>
      <c r="M538" s="6" t="s">
        <v>254</v>
      </c>
      <c r="N538" s="6"/>
      <c r="O538" s="6"/>
    </row>
    <row r="539" spans="1:15" ht="13.15" x14ac:dyDescent="0.4">
      <c r="A539" s="73" t="s">
        <v>129</v>
      </c>
      <c r="B539" s="86">
        <v>27</v>
      </c>
      <c r="C539" s="86">
        <v>19</v>
      </c>
      <c r="D539" s="86">
        <v>5</v>
      </c>
      <c r="E539" s="86">
        <v>3</v>
      </c>
      <c r="F539" s="86"/>
      <c r="G539" s="75">
        <f>B539/27</f>
        <v>1</v>
      </c>
      <c r="H539" s="75">
        <f t="shared" ref="H539:H547" si="21">C539/B539</f>
        <v>0.70370370370370372</v>
      </c>
      <c r="I539" s="75">
        <f t="shared" ref="I539:I548" si="22">D539/B539</f>
        <v>0.18518518518518517</v>
      </c>
      <c r="J539" s="75">
        <f t="shared" ref="J539:J548" si="23">E539/B539</f>
        <v>0.1111111111111111</v>
      </c>
      <c r="K539" s="75"/>
      <c r="L539" s="75"/>
      <c r="M539" s="6" t="s">
        <v>205</v>
      </c>
      <c r="N539" s="76">
        <v>496</v>
      </c>
      <c r="O539" s="141" t="s">
        <v>206</v>
      </c>
    </row>
    <row r="540" spans="1:15" ht="13.15" x14ac:dyDescent="0.4">
      <c r="A540" s="73" t="s">
        <v>130</v>
      </c>
      <c r="B540" s="86">
        <v>65</v>
      </c>
      <c r="C540" s="86">
        <v>42</v>
      </c>
      <c r="D540" s="86">
        <v>18</v>
      </c>
      <c r="E540" s="86">
        <v>5</v>
      </c>
      <c r="F540" s="86"/>
      <c r="G540" s="75">
        <f>B540/66</f>
        <v>0.98484848484848486</v>
      </c>
      <c r="H540" s="75">
        <f t="shared" si="21"/>
        <v>0.64615384615384619</v>
      </c>
      <c r="I540" s="75">
        <f t="shared" si="22"/>
        <v>0.27692307692307694</v>
      </c>
      <c r="J540" s="75">
        <f t="shared" si="23"/>
        <v>7.6923076923076927E-2</v>
      </c>
      <c r="K540" s="75"/>
      <c r="L540" s="75"/>
      <c r="M540" s="6" t="s">
        <v>296</v>
      </c>
      <c r="N540" s="139">
        <v>342</v>
      </c>
      <c r="O540" s="140">
        <f>N540/N539</f>
        <v>0.68951612903225812</v>
      </c>
    </row>
    <row r="541" spans="1:15" ht="13.15" x14ac:dyDescent="0.4">
      <c r="A541" s="73" t="s">
        <v>131</v>
      </c>
      <c r="B541" s="86">
        <v>84</v>
      </c>
      <c r="C541" s="86">
        <v>59</v>
      </c>
      <c r="D541" s="86">
        <v>18</v>
      </c>
      <c r="E541" s="86">
        <v>7</v>
      </c>
      <c r="F541" s="86"/>
      <c r="G541" s="75">
        <f>B541/87</f>
        <v>0.96551724137931039</v>
      </c>
      <c r="H541" s="75">
        <f t="shared" si="21"/>
        <v>0.70238095238095233</v>
      </c>
      <c r="I541" s="75">
        <f t="shared" si="22"/>
        <v>0.21428571428571427</v>
      </c>
      <c r="J541" s="75">
        <f t="shared" si="23"/>
        <v>8.3333333333333329E-2</v>
      </c>
      <c r="K541" s="75"/>
      <c r="L541" s="75"/>
      <c r="M541" s="6" t="s">
        <v>230</v>
      </c>
      <c r="N541" s="139">
        <v>128</v>
      </c>
      <c r="O541" s="140">
        <f>N541/N539</f>
        <v>0.25806451612903225</v>
      </c>
    </row>
    <row r="542" spans="1:15" ht="13.15" x14ac:dyDescent="0.4">
      <c r="A542" s="73" t="s">
        <v>132</v>
      </c>
      <c r="B542" s="86">
        <v>38</v>
      </c>
      <c r="C542" s="86">
        <v>25</v>
      </c>
      <c r="D542" s="86">
        <v>8</v>
      </c>
      <c r="E542" s="86">
        <v>5</v>
      </c>
      <c r="F542" s="86"/>
      <c r="G542" s="75">
        <f>B542/38</f>
        <v>1</v>
      </c>
      <c r="H542" s="75">
        <f t="shared" si="21"/>
        <v>0.65789473684210531</v>
      </c>
      <c r="I542" s="75">
        <f t="shared" si="22"/>
        <v>0.21052631578947367</v>
      </c>
      <c r="J542" s="75">
        <f t="shared" si="23"/>
        <v>0.13157894736842105</v>
      </c>
      <c r="K542" s="75"/>
      <c r="L542" s="75"/>
      <c r="M542" s="6" t="s">
        <v>297</v>
      </c>
      <c r="N542" s="139">
        <v>150</v>
      </c>
      <c r="O542" s="140">
        <f>N542/N539</f>
        <v>0.30241935483870969</v>
      </c>
    </row>
    <row r="543" spans="1:15" ht="13.15" x14ac:dyDescent="0.4">
      <c r="A543" s="73" t="s">
        <v>133</v>
      </c>
      <c r="B543" s="86">
        <v>56</v>
      </c>
      <c r="C543" s="86">
        <v>40</v>
      </c>
      <c r="D543" s="86">
        <v>10</v>
      </c>
      <c r="E543" s="86">
        <v>6</v>
      </c>
      <c r="F543" s="86"/>
      <c r="G543" s="75">
        <f>B543/56</f>
        <v>1</v>
      </c>
      <c r="H543" s="75">
        <f t="shared" si="21"/>
        <v>0.7142857142857143</v>
      </c>
      <c r="I543" s="75">
        <f t="shared" si="22"/>
        <v>0.17857142857142858</v>
      </c>
      <c r="J543" s="75">
        <f t="shared" si="23"/>
        <v>0.10714285714285714</v>
      </c>
      <c r="K543" s="75"/>
      <c r="L543" s="75"/>
      <c r="M543" s="6" t="s">
        <v>231</v>
      </c>
      <c r="N543" s="139">
        <v>47</v>
      </c>
      <c r="O543" s="140">
        <f>N543/N539</f>
        <v>9.4758064516129031E-2</v>
      </c>
    </row>
    <row r="544" spans="1:15" ht="13.15" x14ac:dyDescent="0.4">
      <c r="A544" s="73" t="s">
        <v>134</v>
      </c>
      <c r="B544" s="86">
        <v>86</v>
      </c>
      <c r="C544" s="86">
        <v>56</v>
      </c>
      <c r="D544" s="86">
        <v>23</v>
      </c>
      <c r="E544" s="86">
        <v>7</v>
      </c>
      <c r="F544" s="87"/>
      <c r="G544" s="75">
        <f>B544/87</f>
        <v>0.9885057471264368</v>
      </c>
      <c r="H544" s="75">
        <f t="shared" si="21"/>
        <v>0.65116279069767447</v>
      </c>
      <c r="I544" s="75">
        <f t="shared" si="22"/>
        <v>0.26744186046511625</v>
      </c>
      <c r="J544" s="75">
        <f t="shared" si="23"/>
        <v>8.1395348837209308E-2</v>
      </c>
      <c r="K544" s="75"/>
      <c r="L544" s="75"/>
      <c r="M544" s="6"/>
      <c r="N544" s="139"/>
      <c r="O544" s="140"/>
    </row>
    <row r="545" spans="1:15" ht="13.15" x14ac:dyDescent="0.4">
      <c r="A545" s="73" t="s">
        <v>135</v>
      </c>
      <c r="B545" s="86">
        <v>66</v>
      </c>
      <c r="C545" s="86">
        <v>53</v>
      </c>
      <c r="D545" s="86">
        <v>4</v>
      </c>
      <c r="E545" s="86">
        <v>9</v>
      </c>
      <c r="F545" s="87"/>
      <c r="G545" s="75">
        <f>B545/69</f>
        <v>0.95652173913043481</v>
      </c>
      <c r="H545" s="75">
        <f t="shared" si="21"/>
        <v>0.80303030303030298</v>
      </c>
      <c r="I545" s="75">
        <f t="shared" si="22"/>
        <v>6.0606060606060608E-2</v>
      </c>
      <c r="J545" s="75">
        <f t="shared" si="23"/>
        <v>0.13636363636363635</v>
      </c>
      <c r="K545" s="75"/>
      <c r="L545" s="75"/>
      <c r="M545" s="6"/>
      <c r="N545" s="139"/>
      <c r="O545" s="140"/>
    </row>
    <row r="546" spans="1:15" ht="13.15" x14ac:dyDescent="0.4">
      <c r="A546" s="73" t="s">
        <v>382</v>
      </c>
      <c r="B546" s="86">
        <v>5</v>
      </c>
      <c r="C546" s="86">
        <v>3</v>
      </c>
      <c r="D546" s="86">
        <v>1</v>
      </c>
      <c r="E546" s="86">
        <v>1</v>
      </c>
      <c r="F546" s="87"/>
      <c r="G546" s="75">
        <f>B546/5</f>
        <v>1</v>
      </c>
      <c r="H546" s="75">
        <f t="shared" si="21"/>
        <v>0.6</v>
      </c>
      <c r="I546" s="75">
        <f t="shared" si="22"/>
        <v>0.2</v>
      </c>
      <c r="J546" s="75">
        <f t="shared" si="23"/>
        <v>0.2</v>
      </c>
      <c r="K546" s="75"/>
      <c r="L546" s="75"/>
      <c r="M546" s="6"/>
      <c r="N546" s="139"/>
      <c r="O546" s="140"/>
    </row>
    <row r="547" spans="1:15" ht="13.15" x14ac:dyDescent="0.4">
      <c r="A547" s="73" t="s">
        <v>136</v>
      </c>
      <c r="B547" s="86">
        <v>29</v>
      </c>
      <c r="C547" s="86">
        <v>16</v>
      </c>
      <c r="D547" s="86">
        <v>9</v>
      </c>
      <c r="E547" s="86">
        <v>4</v>
      </c>
      <c r="F547" s="87"/>
      <c r="G547" s="75">
        <f>B547/29</f>
        <v>1</v>
      </c>
      <c r="H547" s="75">
        <f t="shared" si="21"/>
        <v>0.55172413793103448</v>
      </c>
      <c r="I547" s="75">
        <f t="shared" si="22"/>
        <v>0.31034482758620691</v>
      </c>
      <c r="J547" s="75">
        <f t="shared" si="23"/>
        <v>0.13793103448275862</v>
      </c>
      <c r="K547" s="75"/>
      <c r="L547" s="75"/>
      <c r="M547" s="6"/>
      <c r="N547" s="139"/>
      <c r="O547" s="140"/>
    </row>
    <row r="548" spans="1:15" ht="15" x14ac:dyDescent="0.4">
      <c r="A548" s="73" t="s">
        <v>24</v>
      </c>
      <c r="B548" s="87">
        <v>496</v>
      </c>
      <c r="C548" s="86">
        <v>341</v>
      </c>
      <c r="D548" s="86">
        <v>107</v>
      </c>
      <c r="E548" s="87">
        <v>48</v>
      </c>
      <c r="F548" s="72"/>
      <c r="G548" s="75">
        <f>B548/502</f>
        <v>0.98804780876494025</v>
      </c>
      <c r="H548" s="75">
        <f>C548/B548</f>
        <v>0.6875</v>
      </c>
      <c r="I548" s="75">
        <f t="shared" si="22"/>
        <v>0.21572580645161291</v>
      </c>
      <c r="J548" s="75">
        <f t="shared" si="23"/>
        <v>9.6774193548387094E-2</v>
      </c>
      <c r="K548" s="75"/>
      <c r="L548" s="75"/>
      <c r="M548" s="6"/>
      <c r="N548" s="6"/>
      <c r="O548" s="113"/>
    </row>
    <row r="549" spans="1:15" ht="15" x14ac:dyDescent="0.4">
      <c r="A549" s="73"/>
      <c r="B549" s="87"/>
      <c r="C549" s="86"/>
      <c r="D549" s="86"/>
      <c r="E549" s="87"/>
      <c r="F549" s="72"/>
      <c r="G549" s="75"/>
      <c r="H549" s="75"/>
      <c r="I549" s="75"/>
      <c r="J549" s="75"/>
      <c r="K549" s="75"/>
      <c r="L549" s="75"/>
      <c r="M549" s="6"/>
      <c r="N549" s="6"/>
      <c r="O549" s="113"/>
    </row>
    <row r="550" spans="1:15" ht="13.15" x14ac:dyDescent="0.4">
      <c r="A550" s="73"/>
      <c r="B550" s="87"/>
      <c r="C550" s="86"/>
      <c r="D550" s="86"/>
      <c r="E550" s="87"/>
      <c r="F550" s="72"/>
      <c r="G550" s="75"/>
      <c r="H550" s="75"/>
      <c r="I550" s="75"/>
      <c r="J550" s="75"/>
      <c r="K550" s="75"/>
      <c r="L550" s="75"/>
      <c r="M550" s="6"/>
      <c r="N550" s="138"/>
      <c r="O550" s="141"/>
    </row>
    <row r="551" spans="1:15" ht="13.15" x14ac:dyDescent="0.4">
      <c r="A551" s="73"/>
      <c r="B551" s="87"/>
      <c r="C551" s="87"/>
      <c r="D551" s="87"/>
      <c r="E551" s="87"/>
      <c r="F551" s="72"/>
      <c r="G551" s="75"/>
      <c r="H551" s="75"/>
      <c r="I551" s="75"/>
      <c r="J551" s="75"/>
      <c r="K551" s="75"/>
      <c r="L551" s="75"/>
      <c r="M551" s="6"/>
      <c r="N551" s="139"/>
      <c r="O551" s="140"/>
    </row>
    <row r="552" spans="1:15" ht="13.15" x14ac:dyDescent="0.4">
      <c r="A552" s="73" t="s">
        <v>264</v>
      </c>
      <c r="B552" s="72"/>
      <c r="C552" s="72"/>
      <c r="D552" s="72"/>
      <c r="E552" s="72"/>
      <c r="F552" s="72"/>
      <c r="G552" s="72"/>
      <c r="H552" s="72"/>
      <c r="I552" s="72"/>
      <c r="J552" s="72"/>
      <c r="K552" s="72"/>
      <c r="L552" s="75"/>
      <c r="M552" s="6"/>
      <c r="N552" s="6"/>
      <c r="O552" s="6"/>
    </row>
    <row r="553" spans="1:15" ht="13.15" x14ac:dyDescent="0.4">
      <c r="A553" s="73" t="s">
        <v>265</v>
      </c>
      <c r="B553" s="72"/>
      <c r="C553" s="72"/>
      <c r="D553" s="72"/>
      <c r="E553" s="72"/>
      <c r="F553" s="72"/>
      <c r="G553" s="72"/>
      <c r="H553" s="72"/>
      <c r="I553" s="72"/>
      <c r="J553" s="72"/>
      <c r="K553" s="72"/>
      <c r="L553" s="75"/>
      <c r="M553" s="6"/>
      <c r="N553" s="6"/>
      <c r="O553" s="6"/>
    </row>
    <row r="554" spans="1:15" ht="13.15" x14ac:dyDescent="0.4">
      <c r="A554" s="73" t="s">
        <v>266</v>
      </c>
      <c r="B554" s="72"/>
      <c r="C554" s="72"/>
      <c r="D554" s="72"/>
      <c r="E554" s="72"/>
      <c r="F554" s="72"/>
      <c r="G554" s="72"/>
      <c r="H554" s="72"/>
      <c r="I554" s="72"/>
      <c r="J554" s="72"/>
      <c r="K554" s="72"/>
      <c r="L554" s="75"/>
      <c r="M554" s="6"/>
      <c r="N554" s="6"/>
      <c r="O554" s="6"/>
    </row>
    <row r="555" spans="1:15" ht="13.15" x14ac:dyDescent="0.4">
      <c r="A555" s="73" t="s">
        <v>280</v>
      </c>
      <c r="B555" s="72" t="s">
        <v>141</v>
      </c>
      <c r="C555" s="72"/>
      <c r="D555" s="72"/>
      <c r="E555" s="72"/>
      <c r="F555" s="86"/>
      <c r="G555" s="72" t="s">
        <v>148</v>
      </c>
      <c r="H555" s="72"/>
      <c r="I555" s="72"/>
      <c r="J555" s="72"/>
      <c r="K555" s="72"/>
      <c r="L555" s="75"/>
      <c r="M555" s="6" t="s">
        <v>263</v>
      </c>
      <c r="N555" s="6"/>
      <c r="O555" s="6"/>
    </row>
    <row r="556" spans="1:15" ht="13.15" x14ac:dyDescent="0.4">
      <c r="A556" s="73" t="s">
        <v>137</v>
      </c>
      <c r="B556" s="74" t="s">
        <v>113</v>
      </c>
      <c r="C556" s="74" t="s">
        <v>114</v>
      </c>
      <c r="D556" s="74" t="s">
        <v>115</v>
      </c>
      <c r="E556" s="74" t="s">
        <v>116</v>
      </c>
      <c r="F556" s="86"/>
      <c r="G556" s="74" t="s">
        <v>113</v>
      </c>
      <c r="H556" s="74" t="s">
        <v>114</v>
      </c>
      <c r="I556" s="74" t="s">
        <v>115</v>
      </c>
      <c r="J556" s="74" t="s">
        <v>116</v>
      </c>
      <c r="K556" s="74"/>
      <c r="L556" s="75"/>
      <c r="M556" s="6" t="s">
        <v>262</v>
      </c>
      <c r="N556" s="139"/>
      <c r="O556" s="140"/>
    </row>
    <row r="557" spans="1:15" ht="13.15" x14ac:dyDescent="0.4">
      <c r="A557" s="73" t="s">
        <v>128</v>
      </c>
      <c r="B557" s="86">
        <v>40</v>
      </c>
      <c r="C557" s="86">
        <v>31</v>
      </c>
      <c r="D557" s="86">
        <v>9</v>
      </c>
      <c r="E557" s="86">
        <v>0</v>
      </c>
      <c r="F557" s="86"/>
      <c r="G557" s="75">
        <v>1</v>
      </c>
      <c r="H557" s="75">
        <v>0.77500000000000002</v>
      </c>
      <c r="I557" s="75">
        <v>0.22500000000000001</v>
      </c>
      <c r="J557" s="75">
        <v>0</v>
      </c>
      <c r="K557" s="75"/>
      <c r="L557" s="75"/>
      <c r="M557" s="6" t="s">
        <v>254</v>
      </c>
      <c r="N557" s="6"/>
      <c r="O557" s="6"/>
    </row>
    <row r="558" spans="1:15" ht="13.15" x14ac:dyDescent="0.4">
      <c r="A558" s="73" t="s">
        <v>129</v>
      </c>
      <c r="B558" s="86">
        <v>28</v>
      </c>
      <c r="C558" s="86">
        <v>19</v>
      </c>
      <c r="D558" s="86">
        <v>7</v>
      </c>
      <c r="E558" s="86">
        <v>2</v>
      </c>
      <c r="F558" s="86"/>
      <c r="G558" s="75">
        <v>1</v>
      </c>
      <c r="H558" s="75">
        <v>0.6785714285714286</v>
      </c>
      <c r="I558" s="75">
        <v>0.25</v>
      </c>
      <c r="J558" s="75">
        <v>7.1428571428571425E-2</v>
      </c>
      <c r="K558" s="75"/>
      <c r="L558" s="72"/>
      <c r="M558" s="6" t="s">
        <v>205</v>
      </c>
      <c r="N558" s="76">
        <v>498</v>
      </c>
      <c r="O558" s="141" t="s">
        <v>206</v>
      </c>
    </row>
    <row r="559" spans="1:15" ht="13.15" x14ac:dyDescent="0.4">
      <c r="A559" s="73" t="s">
        <v>130</v>
      </c>
      <c r="B559" s="86">
        <v>66</v>
      </c>
      <c r="C559" s="86">
        <v>47</v>
      </c>
      <c r="D559" s="86">
        <v>13</v>
      </c>
      <c r="E559" s="86">
        <v>6</v>
      </c>
      <c r="F559" s="86"/>
      <c r="G559" s="75">
        <v>1.0153846153846153</v>
      </c>
      <c r="H559" s="75">
        <v>0.71212121212121215</v>
      </c>
      <c r="I559" s="75">
        <v>0.19696969696969696</v>
      </c>
      <c r="J559" s="75">
        <v>9.0909090909090912E-2</v>
      </c>
      <c r="K559" s="75"/>
      <c r="L559" s="72"/>
      <c r="M559" s="6" t="s">
        <v>260</v>
      </c>
      <c r="N559" s="139">
        <v>343</v>
      </c>
      <c r="O559" s="140">
        <v>0.6887550200803213</v>
      </c>
    </row>
    <row r="560" spans="1:15" ht="13.15" x14ac:dyDescent="0.4">
      <c r="A560" s="73" t="s">
        <v>131</v>
      </c>
      <c r="B560" s="86">
        <v>84</v>
      </c>
      <c r="C560" s="86">
        <v>53</v>
      </c>
      <c r="D560" s="86">
        <v>21</v>
      </c>
      <c r="E560" s="86">
        <v>10</v>
      </c>
      <c r="F560" s="86"/>
      <c r="G560" s="75">
        <v>0.9882352941176471</v>
      </c>
      <c r="H560" s="75">
        <v>0.63095238095238093</v>
      </c>
      <c r="I560" s="75">
        <v>0.25</v>
      </c>
      <c r="J560" s="75">
        <v>0.11904761904761904</v>
      </c>
      <c r="K560" s="75"/>
      <c r="L560" s="72"/>
      <c r="M560" s="6" t="s">
        <v>230</v>
      </c>
      <c r="N560" s="139">
        <v>113</v>
      </c>
      <c r="O560" s="140">
        <v>0.22690763052208834</v>
      </c>
    </row>
    <row r="561" spans="1:15" ht="13.15" x14ac:dyDescent="0.4">
      <c r="A561" s="73" t="s">
        <v>132</v>
      </c>
      <c r="B561" s="86">
        <v>37</v>
      </c>
      <c r="C561" s="86">
        <v>26</v>
      </c>
      <c r="D561" s="86">
        <v>9</v>
      </c>
      <c r="E561" s="86">
        <v>2</v>
      </c>
      <c r="F561" s="86"/>
      <c r="G561" s="75">
        <v>1</v>
      </c>
      <c r="H561" s="75">
        <v>0.70270270270270274</v>
      </c>
      <c r="I561" s="75">
        <v>0.24324324324324326</v>
      </c>
      <c r="J561" s="75">
        <v>5.4054054054054057E-2</v>
      </c>
      <c r="K561" s="75"/>
      <c r="L561" s="74"/>
      <c r="M561" s="6" t="s">
        <v>261</v>
      </c>
      <c r="N561" s="139">
        <v>150</v>
      </c>
      <c r="O561" s="140">
        <v>0.30120481927710846</v>
      </c>
    </row>
    <row r="562" spans="1:15" ht="13.15" x14ac:dyDescent="0.4">
      <c r="A562" s="73" t="s">
        <v>133</v>
      </c>
      <c r="B562" s="86">
        <v>55</v>
      </c>
      <c r="C562" s="86">
        <v>47</v>
      </c>
      <c r="D562" s="86">
        <v>5</v>
      </c>
      <c r="E562" s="86">
        <v>3</v>
      </c>
      <c r="F562" s="86"/>
      <c r="G562" s="75">
        <v>0.9821428571428571</v>
      </c>
      <c r="H562" s="75">
        <v>0.8545454545454545</v>
      </c>
      <c r="I562" s="75">
        <v>9.0909090909090912E-2</v>
      </c>
      <c r="J562" s="75">
        <v>5.4545454545454543E-2</v>
      </c>
      <c r="K562" s="75"/>
      <c r="L562" s="75"/>
      <c r="M562" s="6" t="s">
        <v>231</v>
      </c>
      <c r="N562" s="139">
        <v>48</v>
      </c>
      <c r="O562" s="140">
        <v>9.6385542168674704E-2</v>
      </c>
    </row>
    <row r="563" spans="1:15" ht="13.15" x14ac:dyDescent="0.4">
      <c r="A563" s="73" t="s">
        <v>134</v>
      </c>
      <c r="B563" s="86">
        <v>87</v>
      </c>
      <c r="C563" s="86">
        <v>47</v>
      </c>
      <c r="D563" s="86">
        <v>30</v>
      </c>
      <c r="E563" s="86">
        <v>10</v>
      </c>
      <c r="F563" s="87"/>
      <c r="G563" s="75">
        <v>0.98863636363636365</v>
      </c>
      <c r="H563" s="75">
        <v>0.54022988505747127</v>
      </c>
      <c r="I563" s="75">
        <v>0.34482758620689657</v>
      </c>
      <c r="J563" s="75">
        <v>0.11494252873563218</v>
      </c>
      <c r="K563" s="75"/>
      <c r="L563" s="75"/>
      <c r="M563" s="6"/>
      <c r="N563" s="139"/>
      <c r="O563" s="140"/>
    </row>
    <row r="564" spans="1:15" ht="13.15" x14ac:dyDescent="0.4">
      <c r="A564" s="73" t="s">
        <v>135</v>
      </c>
      <c r="B564" s="86">
        <v>68</v>
      </c>
      <c r="C564" s="86">
        <v>50</v>
      </c>
      <c r="D564" s="86">
        <v>8</v>
      </c>
      <c r="E564" s="86">
        <v>10</v>
      </c>
      <c r="F564" s="87"/>
      <c r="G564" s="75">
        <v>0.98550724637681164</v>
      </c>
      <c r="H564" s="75">
        <v>0.73529411764705888</v>
      </c>
      <c r="I564" s="75">
        <v>0.11764705882352941</v>
      </c>
      <c r="J564" s="75">
        <v>0.14705882352941177</v>
      </c>
      <c r="K564" s="75"/>
      <c r="L564" s="75"/>
      <c r="M564" s="6"/>
      <c r="N564" s="139"/>
      <c r="O564" s="140"/>
    </row>
    <row r="565" spans="1:15" ht="13.15" x14ac:dyDescent="0.4">
      <c r="A565" s="73" t="s">
        <v>382</v>
      </c>
      <c r="B565" s="86">
        <v>5</v>
      </c>
      <c r="C565" s="86">
        <v>4</v>
      </c>
      <c r="D565" s="86">
        <v>0</v>
      </c>
      <c r="E565" s="86">
        <v>1</v>
      </c>
      <c r="F565" s="87"/>
      <c r="G565" s="75">
        <v>1</v>
      </c>
      <c r="H565" s="75">
        <v>0.8</v>
      </c>
      <c r="I565" s="75">
        <v>0</v>
      </c>
      <c r="J565" s="75">
        <v>0.2</v>
      </c>
      <c r="K565" s="75"/>
      <c r="L565" s="75"/>
      <c r="M565" s="6"/>
      <c r="N565" s="139"/>
      <c r="O565" s="140"/>
    </row>
    <row r="566" spans="1:15" ht="13.15" x14ac:dyDescent="0.4">
      <c r="A566" s="73" t="s">
        <v>136</v>
      </c>
      <c r="B566" s="86">
        <v>29</v>
      </c>
      <c r="C566" s="86">
        <v>15</v>
      </c>
      <c r="D566" s="86">
        <v>13</v>
      </c>
      <c r="E566" s="86">
        <v>1</v>
      </c>
      <c r="F566" s="87"/>
      <c r="G566" s="75">
        <v>1</v>
      </c>
      <c r="H566" s="75">
        <v>0.51724137931034486</v>
      </c>
      <c r="I566" s="75">
        <v>0.44827586206896552</v>
      </c>
      <c r="J566" s="75">
        <v>3.4482758620689655E-2</v>
      </c>
      <c r="K566" s="75"/>
      <c r="L566" s="75"/>
      <c r="M566" s="6"/>
      <c r="N566" s="139"/>
      <c r="O566" s="140"/>
    </row>
    <row r="567" spans="1:15" ht="15" x14ac:dyDescent="0.4">
      <c r="A567" s="73" t="s">
        <v>24</v>
      </c>
      <c r="B567" s="87">
        <v>499</v>
      </c>
      <c r="C567" s="86">
        <v>339</v>
      </c>
      <c r="D567" s="86">
        <v>115</v>
      </c>
      <c r="E567" s="87">
        <v>45</v>
      </c>
      <c r="F567" s="72"/>
      <c r="G567" s="75">
        <v>0.99402390438247012</v>
      </c>
      <c r="H567" s="75">
        <v>0.67935871743486975</v>
      </c>
      <c r="I567" s="75">
        <v>0.23046092184368738</v>
      </c>
      <c r="J567" s="75">
        <v>9.0180360721442893E-2</v>
      </c>
      <c r="K567" s="75"/>
      <c r="L567" s="75"/>
      <c r="M567" s="6"/>
      <c r="N567" s="6"/>
      <c r="O567" s="113"/>
    </row>
    <row r="568" spans="1:15" ht="15" x14ac:dyDescent="0.4">
      <c r="A568" s="73"/>
      <c r="B568" s="87"/>
      <c r="C568" s="86"/>
      <c r="D568" s="86"/>
      <c r="E568" s="87"/>
      <c r="F568" s="72"/>
      <c r="G568" s="75"/>
      <c r="H568" s="75"/>
      <c r="I568" s="75"/>
      <c r="J568" s="75"/>
      <c r="K568" s="75"/>
      <c r="L568" s="75"/>
      <c r="M568" s="6"/>
      <c r="N568" s="6"/>
      <c r="O568" s="113"/>
    </row>
    <row r="569" spans="1:15" ht="13.15" x14ac:dyDescent="0.4">
      <c r="A569" s="73"/>
      <c r="B569" s="87"/>
      <c r="C569" s="86"/>
      <c r="D569" s="86"/>
      <c r="E569" s="87"/>
      <c r="F569" s="72"/>
      <c r="G569" s="75"/>
      <c r="H569" s="75"/>
      <c r="I569" s="75"/>
      <c r="J569" s="75"/>
      <c r="K569" s="75"/>
      <c r="L569" s="75"/>
      <c r="M569" s="6"/>
      <c r="N569" s="138"/>
      <c r="O569" s="141"/>
    </row>
    <row r="570" spans="1:15" ht="13.15" x14ac:dyDescent="0.4">
      <c r="A570" s="73"/>
      <c r="B570" s="87"/>
      <c r="C570" s="87"/>
      <c r="D570" s="87"/>
      <c r="E570" s="87"/>
      <c r="F570" s="72"/>
      <c r="G570" s="75"/>
      <c r="H570" s="75"/>
      <c r="I570" s="75"/>
      <c r="J570" s="75"/>
      <c r="K570" s="75"/>
      <c r="L570" s="75"/>
      <c r="M570" s="6"/>
      <c r="N570" s="139"/>
      <c r="O570" s="140"/>
    </row>
    <row r="571" spans="1:15" ht="13.15" x14ac:dyDescent="0.4">
      <c r="A571" s="73" t="s">
        <v>249</v>
      </c>
      <c r="B571" s="72"/>
      <c r="C571" s="72"/>
      <c r="D571" s="72"/>
      <c r="E571" s="72"/>
      <c r="F571" s="72"/>
      <c r="G571" s="72"/>
      <c r="H571" s="72"/>
      <c r="I571" s="72"/>
      <c r="J571" s="72"/>
      <c r="K571" s="72"/>
      <c r="L571" s="75"/>
      <c r="M571" s="6"/>
      <c r="N571" s="139"/>
      <c r="O571" s="140"/>
    </row>
    <row r="572" spans="1:15" ht="13.15" x14ac:dyDescent="0.4">
      <c r="A572" s="73" t="s">
        <v>258</v>
      </c>
      <c r="B572" s="72"/>
      <c r="C572" s="72"/>
      <c r="D572" s="72"/>
      <c r="E572" s="72"/>
      <c r="F572" s="72"/>
      <c r="G572" s="72"/>
      <c r="H572" s="72"/>
      <c r="I572" s="72"/>
      <c r="J572" s="72"/>
      <c r="K572" s="74"/>
      <c r="L572" s="75"/>
      <c r="M572" s="6"/>
      <c r="N572" s="139"/>
      <c r="O572" s="140"/>
    </row>
    <row r="573" spans="1:15" ht="13.15" x14ac:dyDescent="0.4">
      <c r="A573" s="73" t="s">
        <v>259</v>
      </c>
      <c r="B573" s="72"/>
      <c r="C573" s="72"/>
      <c r="D573" s="72"/>
      <c r="E573" s="72"/>
      <c r="F573" s="72"/>
      <c r="G573" s="72"/>
      <c r="H573" s="72"/>
      <c r="I573" s="72"/>
      <c r="J573" s="72"/>
      <c r="K573" s="75"/>
      <c r="L573" s="75"/>
      <c r="M573" s="6"/>
      <c r="N573" s="139"/>
      <c r="O573" s="140"/>
    </row>
    <row r="574" spans="1:15" ht="13.15" x14ac:dyDescent="0.4">
      <c r="A574" s="73" t="s">
        <v>250</v>
      </c>
      <c r="B574" s="72" t="s">
        <v>141</v>
      </c>
      <c r="C574" s="72"/>
      <c r="D574" s="72"/>
      <c r="E574" s="72"/>
      <c r="F574" s="86"/>
      <c r="G574" s="72" t="s">
        <v>148</v>
      </c>
      <c r="H574" s="72"/>
      <c r="I574" s="72"/>
      <c r="J574" s="72"/>
      <c r="K574" s="75"/>
      <c r="L574" s="75"/>
      <c r="M574" s="6" t="s">
        <v>255</v>
      </c>
      <c r="N574" s="139"/>
      <c r="O574" s="140"/>
    </row>
    <row r="575" spans="1:15" ht="13.15" x14ac:dyDescent="0.4">
      <c r="A575" s="73" t="s">
        <v>137</v>
      </c>
      <c r="B575" s="74" t="s">
        <v>113</v>
      </c>
      <c r="C575" s="74" t="s">
        <v>114</v>
      </c>
      <c r="D575" s="74" t="s">
        <v>115</v>
      </c>
      <c r="E575" s="74" t="s">
        <v>116</v>
      </c>
      <c r="F575" s="86"/>
      <c r="G575" s="74" t="s">
        <v>113</v>
      </c>
      <c r="H575" s="74" t="s">
        <v>114</v>
      </c>
      <c r="I575" s="74" t="s">
        <v>115</v>
      </c>
      <c r="J575" s="74" t="s">
        <v>116</v>
      </c>
      <c r="K575" s="75"/>
      <c r="L575" s="75"/>
      <c r="M575" s="6" t="s">
        <v>205</v>
      </c>
      <c r="N575" s="139">
        <v>498</v>
      </c>
      <c r="O575" s="140" t="s">
        <v>206</v>
      </c>
    </row>
    <row r="576" spans="1:15" ht="13.15" x14ac:dyDescent="0.4">
      <c r="A576" s="73" t="s">
        <v>128</v>
      </c>
      <c r="B576" s="86">
        <v>41</v>
      </c>
      <c r="C576" s="86">
        <v>26</v>
      </c>
      <c r="D576" s="86">
        <v>13</v>
      </c>
      <c r="E576" s="86">
        <v>2</v>
      </c>
      <c r="F576" s="86"/>
      <c r="G576" s="75">
        <v>1</v>
      </c>
      <c r="H576" s="75">
        <v>0.63414634146341464</v>
      </c>
      <c r="I576" s="75">
        <v>0.31707317073170732</v>
      </c>
      <c r="J576" s="75">
        <v>4.878048780487805E-2</v>
      </c>
      <c r="K576" s="75"/>
      <c r="L576" s="75"/>
      <c r="M576" s="6" t="s">
        <v>252</v>
      </c>
      <c r="N576" s="139">
        <v>324</v>
      </c>
      <c r="O576" s="140">
        <v>0.6506024096385542</v>
      </c>
    </row>
    <row r="577" spans="1:15" ht="13.15" x14ac:dyDescent="0.4">
      <c r="A577" s="73" t="s">
        <v>129</v>
      </c>
      <c r="B577" s="86">
        <v>28</v>
      </c>
      <c r="C577" s="86">
        <v>16</v>
      </c>
      <c r="D577" s="86">
        <v>9</v>
      </c>
      <c r="E577" s="86">
        <v>3</v>
      </c>
      <c r="F577" s="86"/>
      <c r="G577" s="75">
        <v>0.96551724137931039</v>
      </c>
      <c r="H577" s="75">
        <v>0.5714285714285714</v>
      </c>
      <c r="I577" s="75">
        <v>0.32142857142857145</v>
      </c>
      <c r="J577" s="75">
        <v>0.10714285714285714</v>
      </c>
      <c r="K577" s="75"/>
      <c r="L577" s="72"/>
      <c r="M577" s="6" t="s">
        <v>230</v>
      </c>
      <c r="N577" s="139">
        <v>105</v>
      </c>
      <c r="O577" s="140">
        <v>0.21084337349397592</v>
      </c>
    </row>
    <row r="578" spans="1:15" ht="13.15" x14ac:dyDescent="0.4">
      <c r="A578" s="73" t="s">
        <v>130</v>
      </c>
      <c r="B578" s="86">
        <v>64</v>
      </c>
      <c r="C578" s="86">
        <v>46</v>
      </c>
      <c r="D578" s="86">
        <v>14</v>
      </c>
      <c r="E578" s="86">
        <v>4</v>
      </c>
      <c r="F578" s="86"/>
      <c r="G578" s="75">
        <v>0.98461538461538467</v>
      </c>
      <c r="H578" s="75">
        <v>0.71875</v>
      </c>
      <c r="I578" s="75">
        <v>0.21875</v>
      </c>
      <c r="J578" s="75">
        <v>6.25E-2</v>
      </c>
      <c r="K578" s="75"/>
      <c r="L578" s="72"/>
      <c r="M578" s="6" t="s">
        <v>253</v>
      </c>
      <c r="N578" s="139">
        <v>165</v>
      </c>
      <c r="O578" s="140">
        <v>0.33132530120481929</v>
      </c>
    </row>
    <row r="579" spans="1:15" ht="13.15" x14ac:dyDescent="0.4">
      <c r="A579" s="73" t="s">
        <v>131</v>
      </c>
      <c r="B579" s="86">
        <v>84</v>
      </c>
      <c r="C579" s="86">
        <v>60</v>
      </c>
      <c r="D579" s="86">
        <v>17</v>
      </c>
      <c r="E579" s="86">
        <v>7</v>
      </c>
      <c r="F579" s="86"/>
      <c r="G579" s="75">
        <v>0.9882352941176471</v>
      </c>
      <c r="H579" s="75">
        <v>0.7142857142857143</v>
      </c>
      <c r="I579" s="75">
        <v>0.20238095238095238</v>
      </c>
      <c r="J579" s="75">
        <v>8.3333333333333329E-2</v>
      </c>
      <c r="K579" s="75"/>
      <c r="L579" s="72"/>
      <c r="M579" s="6" t="s">
        <v>231</v>
      </c>
      <c r="N579" s="139">
        <v>45</v>
      </c>
      <c r="O579" s="140">
        <v>9.036144578313253E-2</v>
      </c>
    </row>
    <row r="580" spans="1:15" ht="13.15" x14ac:dyDescent="0.4">
      <c r="A580" s="73" t="s">
        <v>132</v>
      </c>
      <c r="B580" s="86">
        <v>36</v>
      </c>
      <c r="C580" s="86">
        <v>25</v>
      </c>
      <c r="D580" s="86">
        <v>6</v>
      </c>
      <c r="E580" s="86">
        <v>5</v>
      </c>
      <c r="F580" s="86"/>
      <c r="G580" s="75">
        <v>0.97297297297297303</v>
      </c>
      <c r="H580" s="75">
        <v>0.69444444444444442</v>
      </c>
      <c r="I580" s="75">
        <v>0.16666666666666666</v>
      </c>
      <c r="J580" s="75">
        <v>0.1388888888888889</v>
      </c>
      <c r="K580" s="75"/>
      <c r="L580" s="74"/>
      <c r="M580" s="6"/>
      <c r="N580" s="139"/>
      <c r="O580" s="140"/>
    </row>
    <row r="581" spans="1:15" ht="13.15" x14ac:dyDescent="0.4">
      <c r="A581" s="73" t="s">
        <v>133</v>
      </c>
      <c r="B581" s="86">
        <v>55</v>
      </c>
      <c r="C581" s="86">
        <v>49</v>
      </c>
      <c r="D581" s="86">
        <v>1</v>
      </c>
      <c r="E581" s="86">
        <v>5</v>
      </c>
      <c r="F581" s="86"/>
      <c r="G581" s="75">
        <v>1</v>
      </c>
      <c r="H581" s="75">
        <v>0.89090909090909087</v>
      </c>
      <c r="I581" s="75">
        <v>1.8181818181818181E-2</v>
      </c>
      <c r="J581" s="75">
        <v>9.0909090909090912E-2</v>
      </c>
      <c r="K581" s="75"/>
      <c r="L581" s="75"/>
      <c r="M581" s="6"/>
      <c r="N581" s="139"/>
      <c r="O581" s="140"/>
    </row>
    <row r="582" spans="1:15" ht="13.15" x14ac:dyDescent="0.4">
      <c r="A582" s="73" t="s">
        <v>134</v>
      </c>
      <c r="B582" s="86">
        <v>88</v>
      </c>
      <c r="C582" s="86">
        <v>57</v>
      </c>
      <c r="D582" s="86">
        <v>24</v>
      </c>
      <c r="E582" s="86">
        <v>7</v>
      </c>
      <c r="F582" s="87"/>
      <c r="G582" s="75">
        <v>1</v>
      </c>
      <c r="H582" s="75">
        <v>0.64772727272727271</v>
      </c>
      <c r="I582" s="75">
        <v>0.27272727272727271</v>
      </c>
      <c r="J582" s="75">
        <v>7.9545454545454544E-2</v>
      </c>
      <c r="K582" s="75"/>
      <c r="L582" s="75"/>
      <c r="M582" s="6"/>
      <c r="N582" s="139"/>
      <c r="O582" s="140"/>
    </row>
    <row r="583" spans="1:15" ht="13.15" x14ac:dyDescent="0.4">
      <c r="A583" s="73" t="s">
        <v>135</v>
      </c>
      <c r="B583" s="86">
        <v>66</v>
      </c>
      <c r="C583" s="86">
        <v>48</v>
      </c>
      <c r="D583" s="86">
        <v>11</v>
      </c>
      <c r="E583" s="86">
        <v>7</v>
      </c>
      <c r="F583" s="87"/>
      <c r="G583" s="75">
        <v>0.9850746268656716</v>
      </c>
      <c r="H583" s="75">
        <v>0.72727272727272729</v>
      </c>
      <c r="I583" s="75">
        <v>0.16666666666666666</v>
      </c>
      <c r="J583" s="75">
        <v>0.10606060606060606</v>
      </c>
      <c r="K583" s="75"/>
      <c r="L583" s="75"/>
      <c r="M583" s="6"/>
      <c r="N583" s="139"/>
      <c r="O583" s="140"/>
    </row>
    <row r="584" spans="1:15" ht="13.15" x14ac:dyDescent="0.4">
      <c r="A584" s="73" t="s">
        <v>382</v>
      </c>
      <c r="B584" s="86">
        <v>5</v>
      </c>
      <c r="C584" s="86">
        <v>3</v>
      </c>
      <c r="D584" s="86">
        <v>1</v>
      </c>
      <c r="E584" s="86">
        <v>1</v>
      </c>
      <c r="F584" s="87"/>
      <c r="G584" s="75">
        <v>1</v>
      </c>
      <c r="H584" s="75">
        <v>0.6</v>
      </c>
      <c r="I584" s="75">
        <v>0.2</v>
      </c>
      <c r="J584" s="75">
        <v>0.2</v>
      </c>
      <c r="K584" s="75"/>
      <c r="L584" s="75"/>
      <c r="M584" s="6"/>
      <c r="N584" s="139"/>
      <c r="O584" s="140"/>
    </row>
    <row r="585" spans="1:15" ht="13.15" x14ac:dyDescent="0.4">
      <c r="A585" s="73" t="s">
        <v>136</v>
      </c>
      <c r="B585" s="86">
        <v>29</v>
      </c>
      <c r="C585" s="86">
        <v>16</v>
      </c>
      <c r="D585" s="86">
        <v>13</v>
      </c>
      <c r="E585" s="86">
        <v>0</v>
      </c>
      <c r="F585" s="87"/>
      <c r="G585" s="75">
        <v>0.96666666666666667</v>
      </c>
      <c r="H585" s="75">
        <v>0.55172413793103448</v>
      </c>
      <c r="I585" s="75">
        <v>0.44827586206896552</v>
      </c>
      <c r="J585" s="75">
        <v>0</v>
      </c>
      <c r="K585" s="75"/>
      <c r="L585" s="75"/>
      <c r="M585" s="6"/>
      <c r="N585" s="139"/>
      <c r="O585" s="140"/>
    </row>
    <row r="586" spans="1:15" ht="13.15" x14ac:dyDescent="0.4">
      <c r="A586" s="73" t="s">
        <v>24</v>
      </c>
      <c r="B586" s="87">
        <v>496</v>
      </c>
      <c r="C586" s="86">
        <v>346</v>
      </c>
      <c r="D586" s="86">
        <v>109</v>
      </c>
      <c r="E586" s="87">
        <v>41</v>
      </c>
      <c r="F586" s="72"/>
      <c r="G586" s="75">
        <v>0.98804780876494025</v>
      </c>
      <c r="H586" s="75">
        <v>0.69758064516129037</v>
      </c>
      <c r="I586" s="75">
        <v>0.21975806451612903</v>
      </c>
      <c r="J586" s="75">
        <v>8.2661290322580641E-2</v>
      </c>
      <c r="K586" s="72"/>
      <c r="L586" s="75"/>
      <c r="M586" s="6"/>
      <c r="N586" s="139"/>
      <c r="O586" s="140"/>
    </row>
    <row r="587" spans="1:15" ht="13.15" x14ac:dyDescent="0.4">
      <c r="A587" s="73"/>
      <c r="B587" s="87"/>
      <c r="C587" s="86"/>
      <c r="D587" s="86"/>
      <c r="E587" s="87"/>
      <c r="F587" s="72"/>
      <c r="G587" s="75"/>
      <c r="H587" s="75"/>
      <c r="I587" s="75"/>
      <c r="J587" s="75"/>
      <c r="K587" s="74"/>
      <c r="L587" s="75"/>
      <c r="M587" s="6"/>
      <c r="N587" s="139"/>
      <c r="O587" s="140"/>
    </row>
    <row r="588" spans="1:15" ht="13.15" x14ac:dyDescent="0.4">
      <c r="A588" s="73"/>
      <c r="B588" s="87"/>
      <c r="C588" s="86"/>
      <c r="D588" s="86"/>
      <c r="E588" s="87"/>
      <c r="F588" s="72"/>
      <c r="G588" s="75"/>
      <c r="H588" s="75"/>
      <c r="I588" s="75"/>
      <c r="J588" s="75"/>
      <c r="K588" s="75"/>
      <c r="L588" s="75"/>
      <c r="M588" s="6"/>
      <c r="N588" s="139"/>
      <c r="O588" s="140"/>
    </row>
    <row r="589" spans="1:15" ht="13.15" x14ac:dyDescent="0.4">
      <c r="A589" s="73"/>
      <c r="B589" s="87"/>
      <c r="C589" s="87"/>
      <c r="D589" s="87"/>
      <c r="E589" s="87"/>
      <c r="F589" s="72"/>
      <c r="G589" s="75"/>
      <c r="H589" s="75"/>
      <c r="I589" s="75"/>
      <c r="J589" s="75"/>
      <c r="K589" s="75"/>
      <c r="L589" s="75"/>
      <c r="M589" s="6"/>
      <c r="N589" s="139"/>
      <c r="O589" s="140"/>
    </row>
    <row r="590" spans="1:15" ht="13.15" x14ac:dyDescent="0.4">
      <c r="A590" s="73" t="s">
        <v>257</v>
      </c>
      <c r="B590" s="72" t="s">
        <v>141</v>
      </c>
      <c r="C590" s="72"/>
      <c r="D590" s="72"/>
      <c r="E590" s="72"/>
      <c r="F590" s="86"/>
      <c r="G590" s="72" t="s">
        <v>148</v>
      </c>
      <c r="H590" s="72"/>
      <c r="I590" s="72"/>
      <c r="J590" s="72"/>
      <c r="K590" s="75"/>
      <c r="L590" s="75"/>
      <c r="M590" s="6" t="s">
        <v>251</v>
      </c>
      <c r="N590" s="6"/>
      <c r="O590" s="6"/>
    </row>
    <row r="591" spans="1:15" ht="13.15" x14ac:dyDescent="0.4">
      <c r="A591" s="73" t="s">
        <v>137</v>
      </c>
      <c r="B591" s="74" t="s">
        <v>113</v>
      </c>
      <c r="C591" s="74" t="s">
        <v>114</v>
      </c>
      <c r="D591" s="74" t="s">
        <v>115</v>
      </c>
      <c r="E591" s="74" t="s">
        <v>116</v>
      </c>
      <c r="F591" s="86"/>
      <c r="G591" s="74" t="s">
        <v>113</v>
      </c>
      <c r="H591" s="74" t="s">
        <v>114</v>
      </c>
      <c r="I591" s="74" t="s">
        <v>115</v>
      </c>
      <c r="J591" s="74" t="s">
        <v>116</v>
      </c>
      <c r="K591" s="75"/>
      <c r="L591" s="75"/>
      <c r="M591" s="6" t="s">
        <v>205</v>
      </c>
      <c r="N591" s="76">
        <v>499</v>
      </c>
      <c r="O591" s="141" t="s">
        <v>206</v>
      </c>
    </row>
    <row r="592" spans="1:15" ht="13.15" x14ac:dyDescent="0.4">
      <c r="A592" s="73" t="s">
        <v>128</v>
      </c>
      <c r="B592" s="86">
        <v>41</v>
      </c>
      <c r="C592" s="86">
        <v>27</v>
      </c>
      <c r="D592" s="86">
        <v>10</v>
      </c>
      <c r="E592" s="86">
        <v>4</v>
      </c>
      <c r="F592" s="86"/>
      <c r="G592" s="75">
        <v>1</v>
      </c>
      <c r="H592" s="75">
        <v>0.65853658536585369</v>
      </c>
      <c r="I592" s="75">
        <v>0.24390243902439024</v>
      </c>
      <c r="J592" s="75">
        <v>9.7560975609756101E-2</v>
      </c>
      <c r="K592" s="75"/>
      <c r="L592" s="75"/>
      <c r="M592" s="6" t="s">
        <v>234</v>
      </c>
      <c r="N592" s="139">
        <v>334</v>
      </c>
      <c r="O592" s="140">
        <v>0.66933867735470942</v>
      </c>
    </row>
    <row r="593" spans="1:15" ht="13.15" x14ac:dyDescent="0.4">
      <c r="A593" s="73" t="s">
        <v>129</v>
      </c>
      <c r="B593" s="86">
        <v>29</v>
      </c>
      <c r="C593" s="86">
        <v>16</v>
      </c>
      <c r="D593" s="86">
        <v>10</v>
      </c>
      <c r="E593" s="86">
        <v>3</v>
      </c>
      <c r="F593" s="86"/>
      <c r="G593" s="75">
        <v>1</v>
      </c>
      <c r="H593" s="75">
        <v>0.55172413793103448</v>
      </c>
      <c r="I593" s="75">
        <v>0.34482758620689657</v>
      </c>
      <c r="J593" s="75">
        <v>0.10344827586206896</v>
      </c>
      <c r="K593" s="75"/>
      <c r="L593" s="75"/>
      <c r="M593" s="6" t="s">
        <v>230</v>
      </c>
      <c r="N593" s="139">
        <v>105</v>
      </c>
      <c r="O593" s="140">
        <v>0.21042084168336672</v>
      </c>
    </row>
    <row r="594" spans="1:15" ht="13.15" x14ac:dyDescent="0.4">
      <c r="A594" s="73" t="s">
        <v>130</v>
      </c>
      <c r="B594" s="86">
        <v>65</v>
      </c>
      <c r="C594" s="86">
        <v>41</v>
      </c>
      <c r="D594" s="86">
        <v>16</v>
      </c>
      <c r="E594" s="86">
        <v>8</v>
      </c>
      <c r="F594" s="86"/>
      <c r="G594" s="75">
        <v>1</v>
      </c>
      <c r="H594" s="75">
        <v>0.63076923076923075</v>
      </c>
      <c r="I594" s="75">
        <v>0.24615384615384617</v>
      </c>
      <c r="J594" s="75">
        <v>0.12307692307692308</v>
      </c>
      <c r="K594" s="75"/>
      <c r="L594" s="75"/>
      <c r="M594" s="6" t="s">
        <v>235</v>
      </c>
      <c r="N594" s="139">
        <v>161</v>
      </c>
      <c r="O594" s="140">
        <v>0.32264529058116231</v>
      </c>
    </row>
    <row r="595" spans="1:15" ht="13.15" x14ac:dyDescent="0.4">
      <c r="A595" s="73" t="s">
        <v>131</v>
      </c>
      <c r="B595" s="86">
        <v>83</v>
      </c>
      <c r="C595" s="86">
        <v>56</v>
      </c>
      <c r="D595" s="86">
        <v>22</v>
      </c>
      <c r="E595" s="86">
        <v>5</v>
      </c>
      <c r="F595" s="86"/>
      <c r="G595" s="75">
        <v>0.97647058823529409</v>
      </c>
      <c r="H595" s="75">
        <v>0.67469879518072284</v>
      </c>
      <c r="I595" s="75">
        <v>0.26506024096385544</v>
      </c>
      <c r="J595" s="75">
        <v>6.0240963855421686E-2</v>
      </c>
      <c r="K595" s="75"/>
      <c r="L595" s="72"/>
      <c r="M595" s="6" t="s">
        <v>231</v>
      </c>
      <c r="N595" s="139">
        <v>38</v>
      </c>
      <c r="O595" s="140">
        <v>7.6152304609218444E-2</v>
      </c>
    </row>
    <row r="596" spans="1:15" ht="13.15" x14ac:dyDescent="0.4">
      <c r="A596" s="73" t="s">
        <v>132</v>
      </c>
      <c r="B596" s="86">
        <v>37</v>
      </c>
      <c r="C596" s="86">
        <v>27</v>
      </c>
      <c r="D596" s="86">
        <v>7</v>
      </c>
      <c r="E596" s="86">
        <v>3</v>
      </c>
      <c r="F596" s="86"/>
      <c r="G596" s="75">
        <v>0.97368421052631582</v>
      </c>
      <c r="H596" s="75">
        <v>0.72972972972972971</v>
      </c>
      <c r="I596" s="75">
        <v>0.1891891891891892</v>
      </c>
      <c r="J596" s="75">
        <v>8.1081081081081086E-2</v>
      </c>
      <c r="K596" s="75"/>
      <c r="L596" s="72"/>
      <c r="M596" s="6"/>
      <c r="N596" s="139"/>
      <c r="O596" s="140"/>
    </row>
    <row r="597" spans="1:15" ht="13.15" x14ac:dyDescent="0.4">
      <c r="A597" s="73" t="s">
        <v>133</v>
      </c>
      <c r="B597" s="86">
        <v>55</v>
      </c>
      <c r="C597" s="86">
        <v>43</v>
      </c>
      <c r="D597" s="86">
        <v>6</v>
      </c>
      <c r="E597" s="86">
        <v>6</v>
      </c>
      <c r="F597" s="86"/>
      <c r="G597" s="75">
        <v>1</v>
      </c>
      <c r="H597" s="75">
        <v>0.78181818181818186</v>
      </c>
      <c r="I597" s="75">
        <v>0.10909090909090909</v>
      </c>
      <c r="J597" s="75">
        <v>0.10909090909090909</v>
      </c>
      <c r="K597" s="75"/>
      <c r="L597" s="72"/>
      <c r="M597" s="72"/>
      <c r="N597" s="114"/>
      <c r="O597" s="72"/>
    </row>
    <row r="598" spans="1:15" ht="13.15" x14ac:dyDescent="0.4">
      <c r="A598" s="73" t="s">
        <v>134</v>
      </c>
      <c r="B598" s="86">
        <v>86</v>
      </c>
      <c r="C598" s="86">
        <v>54</v>
      </c>
      <c r="D598" s="86">
        <v>22</v>
      </c>
      <c r="E598" s="86">
        <v>10</v>
      </c>
      <c r="F598" s="87"/>
      <c r="G598" s="75">
        <v>1</v>
      </c>
      <c r="H598" s="75">
        <v>0.62790697674418605</v>
      </c>
      <c r="I598" s="75">
        <v>0.2558139534883721</v>
      </c>
      <c r="J598" s="75">
        <v>0.11627906976744186</v>
      </c>
      <c r="K598" s="75"/>
      <c r="L598" s="72"/>
      <c r="M598" s="72"/>
    </row>
    <row r="599" spans="1:15" ht="13.15" x14ac:dyDescent="0.4">
      <c r="A599" s="73" t="s">
        <v>135</v>
      </c>
      <c r="B599" s="86">
        <v>66</v>
      </c>
      <c r="C599" s="86">
        <v>47</v>
      </c>
      <c r="D599" s="86">
        <v>12</v>
      </c>
      <c r="E599" s="86">
        <v>7</v>
      </c>
      <c r="F599" s="87"/>
      <c r="G599" s="75">
        <v>0.9850746268656716</v>
      </c>
      <c r="H599" s="75">
        <v>0.71212121212121215</v>
      </c>
      <c r="I599" s="75">
        <v>0.18181818181818182</v>
      </c>
      <c r="J599" s="75">
        <v>0.10606060606060606</v>
      </c>
      <c r="K599" s="75"/>
      <c r="L599" s="74"/>
      <c r="M599" s="72"/>
      <c r="N599" s="118"/>
      <c r="O599" s="118"/>
    </row>
    <row r="600" spans="1:15" ht="13.15" x14ac:dyDescent="0.4">
      <c r="A600" s="73" t="s">
        <v>382</v>
      </c>
      <c r="B600" s="86">
        <v>6</v>
      </c>
      <c r="C600" s="86">
        <v>5</v>
      </c>
      <c r="D600" s="86">
        <v>1</v>
      </c>
      <c r="E600" s="86">
        <v>0</v>
      </c>
      <c r="F600" s="87"/>
      <c r="G600" s="75">
        <v>1</v>
      </c>
      <c r="H600" s="75">
        <v>0.83333333333333337</v>
      </c>
      <c r="I600" s="75">
        <v>0.16666666666666666</v>
      </c>
      <c r="J600" s="75">
        <v>0</v>
      </c>
      <c r="K600" s="75"/>
      <c r="L600" s="75"/>
      <c r="M600" s="72"/>
      <c r="N600" s="118"/>
      <c r="O600" s="118"/>
    </row>
    <row r="601" spans="1:15" ht="13.15" x14ac:dyDescent="0.4">
      <c r="A601" s="73" t="s">
        <v>136</v>
      </c>
      <c r="B601" s="86">
        <v>30</v>
      </c>
      <c r="C601" s="86">
        <v>21</v>
      </c>
      <c r="D601" s="86">
        <v>8</v>
      </c>
      <c r="E601" s="86">
        <v>1</v>
      </c>
      <c r="F601" s="87"/>
      <c r="G601" s="75">
        <v>1</v>
      </c>
      <c r="H601" s="75">
        <v>0.7</v>
      </c>
      <c r="I601" s="75">
        <v>0.26666666666666666</v>
      </c>
      <c r="J601" s="75">
        <v>3.3333333333333333E-2</v>
      </c>
      <c r="K601" s="75"/>
      <c r="L601" s="75"/>
      <c r="M601" s="72"/>
      <c r="N601" s="118"/>
      <c r="O601" s="118"/>
    </row>
    <row r="602" spans="1:15" ht="13.15" x14ac:dyDescent="0.4">
      <c r="A602" s="73" t="s">
        <v>24</v>
      </c>
      <c r="B602" s="87">
        <v>498</v>
      </c>
      <c r="C602" s="86">
        <v>337</v>
      </c>
      <c r="D602" s="86">
        <v>114</v>
      </c>
      <c r="E602" s="87">
        <v>47</v>
      </c>
      <c r="F602" s="72"/>
      <c r="G602" s="75">
        <v>0.99203187250996017</v>
      </c>
      <c r="H602" s="75">
        <v>0.67670682730923692</v>
      </c>
      <c r="I602" s="75">
        <v>0.2289156626506024</v>
      </c>
      <c r="J602" s="75">
        <v>9.4377510040160636E-2</v>
      </c>
      <c r="K602" s="72"/>
      <c r="L602" s="75"/>
      <c r="M602" s="72"/>
      <c r="N602" s="118"/>
      <c r="O602" s="118"/>
    </row>
    <row r="603" spans="1:15" ht="13.15" x14ac:dyDescent="0.4">
      <c r="A603" s="73"/>
      <c r="B603" s="87"/>
      <c r="C603" s="87"/>
      <c r="D603" s="87"/>
      <c r="E603" s="87"/>
      <c r="F603" s="72"/>
      <c r="G603" s="75"/>
      <c r="H603" s="75"/>
      <c r="I603" s="75"/>
      <c r="J603" s="75"/>
      <c r="K603" s="74"/>
      <c r="L603" s="75"/>
      <c r="M603" s="7"/>
    </row>
    <row r="604" spans="1:15" ht="13.15" x14ac:dyDescent="0.4">
      <c r="A604" s="73"/>
      <c r="B604" s="87"/>
      <c r="C604" s="87"/>
      <c r="D604" s="87"/>
      <c r="E604" s="87"/>
      <c r="F604" s="72"/>
      <c r="G604" s="75"/>
      <c r="H604" s="75"/>
      <c r="I604" s="75"/>
      <c r="J604" s="75"/>
      <c r="K604" s="75"/>
      <c r="L604" s="75"/>
      <c r="M604" s="98"/>
    </row>
    <row r="605" spans="1:15" ht="15" x14ac:dyDescent="0.4">
      <c r="A605" s="73" t="s">
        <v>202</v>
      </c>
      <c r="B605" s="72" t="s">
        <v>141</v>
      </c>
      <c r="C605" s="72"/>
      <c r="D605" s="72"/>
      <c r="E605" s="72"/>
      <c r="F605" s="86"/>
      <c r="G605" s="72" t="s">
        <v>148</v>
      </c>
      <c r="H605" s="72"/>
      <c r="I605" s="72"/>
      <c r="J605" s="72"/>
      <c r="K605" s="75"/>
      <c r="L605" s="75"/>
      <c r="M605" s="6" t="s">
        <v>236</v>
      </c>
      <c r="N605" s="6"/>
      <c r="O605" s="113"/>
    </row>
    <row r="606" spans="1:15" ht="13.15" x14ac:dyDescent="0.4">
      <c r="A606" s="73" t="s">
        <v>137</v>
      </c>
      <c r="B606" s="74" t="s">
        <v>113</v>
      </c>
      <c r="C606" s="74" t="s">
        <v>114</v>
      </c>
      <c r="D606" s="74" t="s">
        <v>115</v>
      </c>
      <c r="E606" s="74" t="s">
        <v>116</v>
      </c>
      <c r="F606" s="86"/>
      <c r="G606" s="74" t="s">
        <v>113</v>
      </c>
      <c r="H606" s="74" t="s">
        <v>114</v>
      </c>
      <c r="I606" s="74" t="s">
        <v>115</v>
      </c>
      <c r="J606" s="74" t="s">
        <v>116</v>
      </c>
      <c r="K606" s="75"/>
      <c r="L606" s="75"/>
      <c r="M606" s="6" t="s">
        <v>205</v>
      </c>
      <c r="N606" s="138">
        <v>497</v>
      </c>
      <c r="O606" s="141" t="s">
        <v>206</v>
      </c>
    </row>
    <row r="607" spans="1:15" ht="13.15" x14ac:dyDescent="0.4">
      <c r="A607" s="73" t="s">
        <v>128</v>
      </c>
      <c r="B607" s="86">
        <v>43</v>
      </c>
      <c r="C607" s="86">
        <v>28</v>
      </c>
      <c r="D607" s="86">
        <v>15</v>
      </c>
      <c r="E607" s="86">
        <v>0</v>
      </c>
      <c r="F607" s="86"/>
      <c r="G607" s="75">
        <f>B607/43</f>
        <v>1</v>
      </c>
      <c r="H607" s="75">
        <f>C607/B607</f>
        <v>0.65116279069767447</v>
      </c>
      <c r="I607" s="75">
        <f>D607/B607</f>
        <v>0.34883720930232559</v>
      </c>
      <c r="J607" s="75">
        <f>E607/B607</f>
        <v>0</v>
      </c>
      <c r="K607" s="75"/>
      <c r="L607" s="75"/>
      <c r="M607" s="6" t="s">
        <v>229</v>
      </c>
      <c r="N607" s="139">
        <v>337</v>
      </c>
      <c r="O607" s="140">
        <v>0.67806841046277666</v>
      </c>
    </row>
    <row r="608" spans="1:15" ht="13.15" x14ac:dyDescent="0.4">
      <c r="A608" s="73" t="s">
        <v>129</v>
      </c>
      <c r="B608" s="86">
        <v>29</v>
      </c>
      <c r="C608" s="86">
        <v>23</v>
      </c>
      <c r="D608" s="86">
        <v>2</v>
      </c>
      <c r="E608" s="86">
        <v>4</v>
      </c>
      <c r="F608" s="86"/>
      <c r="G608" s="75">
        <f>B608/29</f>
        <v>1</v>
      </c>
      <c r="H608" s="75">
        <f t="shared" ref="H608:H617" si="24">C608/B608</f>
        <v>0.7931034482758621</v>
      </c>
      <c r="I608" s="75">
        <f t="shared" ref="I608:I617" si="25">D608/B608</f>
        <v>6.8965517241379309E-2</v>
      </c>
      <c r="J608" s="75">
        <f t="shared" ref="J608:J617" si="26">E608/B608</f>
        <v>0.13793103448275862</v>
      </c>
      <c r="K608" s="75"/>
      <c r="L608" s="75"/>
      <c r="M608" s="6" t="s">
        <v>230</v>
      </c>
      <c r="N608" s="139">
        <v>106</v>
      </c>
      <c r="O608" s="140">
        <v>0.21327967806841047</v>
      </c>
    </row>
    <row r="609" spans="1:15" ht="13.15" x14ac:dyDescent="0.4">
      <c r="A609" s="73" t="s">
        <v>130</v>
      </c>
      <c r="B609" s="86">
        <v>64</v>
      </c>
      <c r="C609" s="86">
        <v>46</v>
      </c>
      <c r="D609" s="86">
        <v>7</v>
      </c>
      <c r="E609" s="86">
        <v>11</v>
      </c>
      <c r="F609" s="86"/>
      <c r="G609" s="75">
        <f>B609/64</f>
        <v>1</v>
      </c>
      <c r="H609" s="75">
        <f t="shared" si="24"/>
        <v>0.71875</v>
      </c>
      <c r="I609" s="75">
        <f t="shared" si="25"/>
        <v>0.109375</v>
      </c>
      <c r="J609" s="75">
        <f t="shared" si="26"/>
        <v>0.171875</v>
      </c>
      <c r="K609" s="75"/>
      <c r="L609" s="75"/>
      <c r="M609" s="6" t="s">
        <v>232</v>
      </c>
      <c r="N609" s="139">
        <v>154</v>
      </c>
      <c r="O609" s="140">
        <v>0.30985915492957744</v>
      </c>
    </row>
    <row r="610" spans="1:15" ht="13.15" x14ac:dyDescent="0.4">
      <c r="A610" s="73" t="s">
        <v>131</v>
      </c>
      <c r="B610" s="86">
        <v>84</v>
      </c>
      <c r="C610" s="86">
        <v>58</v>
      </c>
      <c r="D610" s="86">
        <v>20</v>
      </c>
      <c r="E610" s="86">
        <v>6</v>
      </c>
      <c r="F610" s="86"/>
      <c r="G610" s="75">
        <f>B610/85</f>
        <v>0.9882352941176471</v>
      </c>
      <c r="H610" s="75">
        <f t="shared" si="24"/>
        <v>0.69047619047619047</v>
      </c>
      <c r="I610" s="75">
        <f t="shared" si="25"/>
        <v>0.23809523809523808</v>
      </c>
      <c r="J610" s="75">
        <f t="shared" si="26"/>
        <v>7.1428571428571425E-2</v>
      </c>
      <c r="K610" s="75"/>
      <c r="L610" s="75"/>
      <c r="M610" s="6" t="s">
        <v>231</v>
      </c>
      <c r="N610" s="139">
        <v>30</v>
      </c>
      <c r="O610" s="140">
        <v>6.0362173038229376E-2</v>
      </c>
    </row>
    <row r="611" spans="1:15" ht="13.15" x14ac:dyDescent="0.4">
      <c r="A611" s="73" t="s">
        <v>132</v>
      </c>
      <c r="B611" s="86">
        <v>40</v>
      </c>
      <c r="C611" s="86">
        <v>26</v>
      </c>
      <c r="D611" s="86">
        <v>8</v>
      </c>
      <c r="E611" s="86">
        <v>6</v>
      </c>
      <c r="F611" s="86"/>
      <c r="G611" s="75">
        <f>B611/40</f>
        <v>1</v>
      </c>
      <c r="H611" s="75">
        <f t="shared" si="24"/>
        <v>0.65</v>
      </c>
      <c r="I611" s="75">
        <f t="shared" si="25"/>
        <v>0.2</v>
      </c>
      <c r="J611" s="75">
        <f t="shared" si="26"/>
        <v>0.15</v>
      </c>
      <c r="K611" s="75"/>
      <c r="L611" s="75"/>
      <c r="M611" s="122"/>
      <c r="N611" s="53"/>
      <c r="O611" s="53"/>
    </row>
    <row r="612" spans="1:15" ht="13.15" x14ac:dyDescent="0.4">
      <c r="A612" s="73" t="s">
        <v>133</v>
      </c>
      <c r="B612" s="86">
        <v>55</v>
      </c>
      <c r="C612" s="86">
        <v>39</v>
      </c>
      <c r="D612" s="86">
        <v>9</v>
      </c>
      <c r="E612" s="86">
        <v>7</v>
      </c>
      <c r="F612" s="86"/>
      <c r="G612" s="75">
        <f>B612/55</f>
        <v>1</v>
      </c>
      <c r="H612" s="75">
        <f t="shared" si="24"/>
        <v>0.70909090909090911</v>
      </c>
      <c r="I612" s="75">
        <f t="shared" si="25"/>
        <v>0.16363636363636364</v>
      </c>
      <c r="J612" s="75">
        <f t="shared" si="26"/>
        <v>0.12727272727272726</v>
      </c>
      <c r="K612" s="75"/>
      <c r="L612" s="75"/>
      <c r="M612" s="121"/>
      <c r="N612" s="53"/>
      <c r="O612" s="53"/>
    </row>
    <row r="613" spans="1:15" ht="13.15" x14ac:dyDescent="0.4">
      <c r="A613" s="73" t="s">
        <v>134</v>
      </c>
      <c r="B613" s="86">
        <v>85</v>
      </c>
      <c r="C613" s="86">
        <v>51</v>
      </c>
      <c r="D613" s="86">
        <v>28</v>
      </c>
      <c r="E613" s="86">
        <v>6</v>
      </c>
      <c r="F613" s="87"/>
      <c r="G613" s="75">
        <f>B613/85</f>
        <v>1</v>
      </c>
      <c r="H613" s="75">
        <f t="shared" si="24"/>
        <v>0.6</v>
      </c>
      <c r="I613" s="75">
        <f t="shared" si="25"/>
        <v>0.32941176470588235</v>
      </c>
      <c r="J613" s="75">
        <f t="shared" si="26"/>
        <v>7.0588235294117646E-2</v>
      </c>
      <c r="K613" s="75"/>
      <c r="L613" s="72"/>
      <c r="M613" s="124"/>
      <c r="N613" s="53"/>
      <c r="O613" s="53"/>
    </row>
    <row r="614" spans="1:15" ht="13.15" x14ac:dyDescent="0.4">
      <c r="A614" s="73" t="s">
        <v>135</v>
      </c>
      <c r="B614" s="86">
        <v>64</v>
      </c>
      <c r="C614" s="86">
        <v>54</v>
      </c>
      <c r="D614" s="86">
        <v>4</v>
      </c>
      <c r="E614" s="86">
        <v>6</v>
      </c>
      <c r="F614" s="87"/>
      <c r="G614" s="75">
        <f>B614/65</f>
        <v>0.98461538461538467</v>
      </c>
      <c r="H614" s="75">
        <f t="shared" si="24"/>
        <v>0.84375</v>
      </c>
      <c r="I614" s="75">
        <f t="shared" si="25"/>
        <v>6.25E-2</v>
      </c>
      <c r="J614" s="75">
        <f t="shared" si="26"/>
        <v>9.375E-2</v>
      </c>
      <c r="K614" s="75"/>
      <c r="L614" s="72"/>
      <c r="M614" s="82"/>
      <c r="N614" s="53"/>
      <c r="O614" s="53"/>
    </row>
    <row r="615" spans="1:15" ht="13.15" x14ac:dyDescent="0.4">
      <c r="A615" s="73" t="s">
        <v>382</v>
      </c>
      <c r="B615" s="86">
        <v>6</v>
      </c>
      <c r="C615" s="86">
        <v>2</v>
      </c>
      <c r="D615" s="86">
        <v>1</v>
      </c>
      <c r="E615" s="86">
        <v>3</v>
      </c>
      <c r="F615" s="87"/>
      <c r="G615" s="75">
        <f>B615/6</f>
        <v>1</v>
      </c>
      <c r="H615" s="75">
        <f t="shared" si="24"/>
        <v>0.33333333333333331</v>
      </c>
      <c r="I615" s="75">
        <f t="shared" si="25"/>
        <v>0.16666666666666666</v>
      </c>
      <c r="J615" s="75">
        <f t="shared" si="26"/>
        <v>0.5</v>
      </c>
      <c r="K615" s="75"/>
      <c r="L615" s="72"/>
      <c r="M615" s="82"/>
    </row>
    <row r="616" spans="1:15" ht="13.15" x14ac:dyDescent="0.4">
      <c r="A616" s="73" t="s">
        <v>136</v>
      </c>
      <c r="B616" s="86">
        <v>30</v>
      </c>
      <c r="C616" s="86">
        <v>16</v>
      </c>
      <c r="D616" s="86">
        <v>11</v>
      </c>
      <c r="E616" s="86">
        <v>3</v>
      </c>
      <c r="F616" s="87"/>
      <c r="G616" s="75">
        <f>B616/30</f>
        <v>1</v>
      </c>
      <c r="H616" s="75">
        <f t="shared" si="24"/>
        <v>0.53333333333333333</v>
      </c>
      <c r="I616" s="75">
        <f t="shared" si="25"/>
        <v>0.36666666666666664</v>
      </c>
      <c r="J616" s="75">
        <f t="shared" si="26"/>
        <v>0.1</v>
      </c>
      <c r="K616" s="75"/>
      <c r="L616" s="72"/>
      <c r="M616" s="82"/>
    </row>
    <row r="617" spans="1:15" ht="13.15" x14ac:dyDescent="0.4">
      <c r="A617" s="73" t="s">
        <v>24</v>
      </c>
      <c r="B617" s="87">
        <v>500</v>
      </c>
      <c r="C617" s="86">
        <v>343</v>
      </c>
      <c r="D617" s="86">
        <v>105</v>
      </c>
      <c r="E617" s="87">
        <v>52</v>
      </c>
      <c r="F617" s="72"/>
      <c r="G617" s="75">
        <f>B617/502</f>
        <v>0.99601593625498008</v>
      </c>
      <c r="H617" s="75">
        <f t="shared" si="24"/>
        <v>0.68600000000000005</v>
      </c>
      <c r="I617" s="75">
        <f t="shared" si="25"/>
        <v>0.21</v>
      </c>
      <c r="J617" s="75">
        <f t="shared" si="26"/>
        <v>0.104</v>
      </c>
      <c r="K617" s="75"/>
      <c r="L617" s="74"/>
      <c r="M617" s="82"/>
    </row>
    <row r="618" spans="1:15" ht="13.15" x14ac:dyDescent="0.4">
      <c r="A618" s="73"/>
      <c r="B618" s="87"/>
      <c r="C618" s="86"/>
      <c r="D618" s="86"/>
      <c r="E618" s="87"/>
      <c r="F618" s="72"/>
      <c r="G618" s="75"/>
      <c r="H618" s="75"/>
      <c r="I618" s="75"/>
      <c r="J618" s="75"/>
      <c r="K618" s="72"/>
      <c r="L618" s="75"/>
      <c r="M618" s="82"/>
      <c r="N618" s="72"/>
      <c r="O618" s="72"/>
    </row>
    <row r="619" spans="1:15" ht="13.15" x14ac:dyDescent="0.4">
      <c r="A619" s="73"/>
      <c r="B619" s="87"/>
      <c r="C619" s="87"/>
      <c r="D619" s="87"/>
      <c r="E619" s="87"/>
      <c r="F619" s="72"/>
      <c r="G619" s="75"/>
      <c r="H619" s="75"/>
      <c r="I619" s="75"/>
      <c r="J619" s="75"/>
      <c r="K619" s="74"/>
      <c r="L619" s="75"/>
      <c r="M619" s="116"/>
      <c r="N619" s="72"/>
      <c r="O619" s="72"/>
    </row>
    <row r="620" spans="1:15" ht="13.15" x14ac:dyDescent="0.4">
      <c r="A620" s="73" t="s">
        <v>239</v>
      </c>
      <c r="B620" s="87"/>
      <c r="C620" s="86"/>
      <c r="D620" s="86"/>
      <c r="E620" s="87"/>
      <c r="F620" s="72"/>
      <c r="G620" s="75"/>
      <c r="H620" s="75"/>
      <c r="I620" s="75"/>
      <c r="J620" s="75"/>
      <c r="K620" s="75"/>
      <c r="L620" s="75"/>
      <c r="M620" s="116"/>
      <c r="N620" s="72"/>
      <c r="O620" s="72"/>
    </row>
    <row r="621" spans="1:15" ht="13.15" x14ac:dyDescent="0.4">
      <c r="A621" s="73" t="s">
        <v>203</v>
      </c>
      <c r="B621" s="72" t="s">
        <v>141</v>
      </c>
      <c r="C621" s="72"/>
      <c r="D621" s="72"/>
      <c r="E621" s="72"/>
      <c r="F621" s="86"/>
      <c r="G621" s="72" t="s">
        <v>148</v>
      </c>
      <c r="H621" s="72"/>
      <c r="I621" s="72"/>
      <c r="J621" s="72"/>
      <c r="K621" s="75"/>
      <c r="L621" s="75"/>
      <c r="M621" s="116"/>
      <c r="N621" s="72"/>
      <c r="O621" s="72"/>
    </row>
    <row r="622" spans="1:15" ht="13.15" x14ac:dyDescent="0.4">
      <c r="A622" s="73" t="s">
        <v>137</v>
      </c>
      <c r="B622" s="74" t="s">
        <v>113</v>
      </c>
      <c r="C622" s="74" t="s">
        <v>114</v>
      </c>
      <c r="D622" s="74" t="s">
        <v>115</v>
      </c>
      <c r="E622" s="74" t="s">
        <v>116</v>
      </c>
      <c r="F622" s="86"/>
      <c r="G622" s="74" t="s">
        <v>113</v>
      </c>
      <c r="H622" s="74" t="s">
        <v>114</v>
      </c>
      <c r="I622" s="74" t="s">
        <v>115</v>
      </c>
      <c r="J622" s="74" t="s">
        <v>116</v>
      </c>
      <c r="K622" s="75"/>
      <c r="L622" s="75"/>
      <c r="M622"/>
    </row>
    <row r="623" spans="1:15" ht="13.15" x14ac:dyDescent="0.4">
      <c r="A623" s="73" t="s">
        <v>128</v>
      </c>
      <c r="B623" s="86">
        <v>43</v>
      </c>
      <c r="C623" s="86">
        <v>31</v>
      </c>
      <c r="D623" s="86">
        <v>8</v>
      </c>
      <c r="E623" s="86">
        <v>4</v>
      </c>
      <c r="F623" s="86"/>
      <c r="G623" s="75">
        <f>B623/43</f>
        <v>1</v>
      </c>
      <c r="H623" s="75">
        <f>C623/B623</f>
        <v>0.72093023255813948</v>
      </c>
      <c r="I623" s="75">
        <f>D623/B623</f>
        <v>0.18604651162790697</v>
      </c>
      <c r="J623" s="75">
        <f>E623/B623</f>
        <v>9.3023255813953487E-2</v>
      </c>
      <c r="K623" s="75"/>
      <c r="L623" s="75"/>
      <c r="M623"/>
    </row>
    <row r="624" spans="1:15" ht="13.15" x14ac:dyDescent="0.4">
      <c r="A624" s="73" t="s">
        <v>129</v>
      </c>
      <c r="B624" s="86">
        <v>30</v>
      </c>
      <c r="C624" s="86">
        <v>20</v>
      </c>
      <c r="D624" s="86">
        <v>5</v>
      </c>
      <c r="E624" s="86">
        <v>5</v>
      </c>
      <c r="F624" s="86"/>
      <c r="G624" s="75">
        <f>B624/30</f>
        <v>1</v>
      </c>
      <c r="H624" s="75">
        <f t="shared" ref="H624:H633" si="27">C624/B624</f>
        <v>0.66666666666666663</v>
      </c>
      <c r="I624" s="75">
        <f t="shared" ref="I624:I633" si="28">D624/B624</f>
        <v>0.16666666666666666</v>
      </c>
      <c r="J624" s="75">
        <f t="shared" ref="J624:J633" si="29">E624/B624</f>
        <v>0.16666666666666666</v>
      </c>
      <c r="K624" s="75"/>
      <c r="L624" s="75"/>
      <c r="M624"/>
    </row>
    <row r="625" spans="1:13" ht="13.15" x14ac:dyDescent="0.4">
      <c r="A625" s="73" t="s">
        <v>130</v>
      </c>
      <c r="B625" s="86">
        <v>64</v>
      </c>
      <c r="C625" s="86">
        <v>54</v>
      </c>
      <c r="D625" s="86">
        <v>6</v>
      </c>
      <c r="E625" s="86">
        <v>4</v>
      </c>
      <c r="F625" s="86"/>
      <c r="G625" s="75">
        <f>B625/65</f>
        <v>0.98461538461538467</v>
      </c>
      <c r="H625" s="75">
        <f t="shared" si="27"/>
        <v>0.84375</v>
      </c>
      <c r="I625" s="75">
        <f t="shared" si="28"/>
        <v>9.375E-2</v>
      </c>
      <c r="J625" s="75">
        <f t="shared" si="29"/>
        <v>6.25E-2</v>
      </c>
      <c r="K625" s="75"/>
      <c r="L625" s="75"/>
      <c r="M625"/>
    </row>
    <row r="626" spans="1:13" ht="13.15" x14ac:dyDescent="0.4">
      <c r="A626" s="73" t="s">
        <v>131</v>
      </c>
      <c r="B626" s="86">
        <v>83</v>
      </c>
      <c r="C626" s="86">
        <v>59</v>
      </c>
      <c r="D626" s="86">
        <v>17</v>
      </c>
      <c r="E626" s="86">
        <v>7</v>
      </c>
      <c r="F626" s="86"/>
      <c r="G626" s="75">
        <f>B626/84</f>
        <v>0.98809523809523814</v>
      </c>
      <c r="H626" s="75">
        <f t="shared" si="27"/>
        <v>0.71084337349397586</v>
      </c>
      <c r="I626" s="75">
        <f t="shared" si="28"/>
        <v>0.20481927710843373</v>
      </c>
      <c r="J626" s="75">
        <f t="shared" si="29"/>
        <v>8.4337349397590355E-2</v>
      </c>
      <c r="K626" s="75"/>
      <c r="L626" s="75"/>
      <c r="M626"/>
    </row>
    <row r="627" spans="1:13" ht="13.15" x14ac:dyDescent="0.4">
      <c r="A627" s="73" t="s">
        <v>132</v>
      </c>
      <c r="B627" s="86">
        <v>40</v>
      </c>
      <c r="C627" s="86">
        <v>30</v>
      </c>
      <c r="D627" s="86">
        <v>6</v>
      </c>
      <c r="E627" s="86">
        <v>4</v>
      </c>
      <c r="F627" s="86"/>
      <c r="G627" s="75">
        <f>B627/40</f>
        <v>1</v>
      </c>
      <c r="H627" s="75">
        <f t="shared" si="27"/>
        <v>0.75</v>
      </c>
      <c r="I627" s="75">
        <f t="shared" si="28"/>
        <v>0.15</v>
      </c>
      <c r="J627" s="75">
        <f t="shared" si="29"/>
        <v>0.1</v>
      </c>
      <c r="K627" s="75"/>
      <c r="L627" s="75"/>
      <c r="M627"/>
    </row>
    <row r="628" spans="1:13" ht="13.15" x14ac:dyDescent="0.4">
      <c r="A628" s="73" t="s">
        <v>133</v>
      </c>
      <c r="B628" s="86">
        <v>55</v>
      </c>
      <c r="C628" s="86">
        <v>43</v>
      </c>
      <c r="D628" s="86">
        <v>7</v>
      </c>
      <c r="E628" s="86">
        <v>5</v>
      </c>
      <c r="F628" s="86"/>
      <c r="G628" s="75">
        <f>B628/55</f>
        <v>1</v>
      </c>
      <c r="H628" s="75">
        <f t="shared" si="27"/>
        <v>0.78181818181818186</v>
      </c>
      <c r="I628" s="75">
        <f t="shared" si="28"/>
        <v>0.12727272727272726</v>
      </c>
      <c r="J628" s="75">
        <f t="shared" si="29"/>
        <v>9.0909090909090912E-2</v>
      </c>
      <c r="K628" s="75"/>
      <c r="L628" s="75"/>
      <c r="M628"/>
    </row>
    <row r="629" spans="1:13" ht="13.15" x14ac:dyDescent="0.4">
      <c r="A629" s="73" t="s">
        <v>134</v>
      </c>
      <c r="B629" s="86">
        <v>84</v>
      </c>
      <c r="C629" s="86">
        <v>61</v>
      </c>
      <c r="D629" s="86">
        <v>16</v>
      </c>
      <c r="E629" s="86">
        <v>7</v>
      </c>
      <c r="F629" s="87"/>
      <c r="G629" s="75">
        <f>B629/84</f>
        <v>1</v>
      </c>
      <c r="H629" s="75">
        <f t="shared" si="27"/>
        <v>0.72619047619047616</v>
      </c>
      <c r="I629" s="75">
        <f t="shared" si="28"/>
        <v>0.19047619047619047</v>
      </c>
      <c r="J629" s="75">
        <f t="shared" si="29"/>
        <v>8.3333333333333329E-2</v>
      </c>
      <c r="K629" s="75"/>
      <c r="L629" s="75"/>
      <c r="M629"/>
    </row>
    <row r="630" spans="1:13" ht="13.15" x14ac:dyDescent="0.4">
      <c r="A630" s="73" t="s">
        <v>135</v>
      </c>
      <c r="B630" s="86">
        <v>65</v>
      </c>
      <c r="C630" s="86">
        <v>54</v>
      </c>
      <c r="D630" s="86">
        <v>8</v>
      </c>
      <c r="E630" s="86">
        <v>3</v>
      </c>
      <c r="F630" s="87"/>
      <c r="G630" s="75">
        <f>B630/66</f>
        <v>0.98484848484848486</v>
      </c>
      <c r="H630" s="75">
        <f t="shared" si="27"/>
        <v>0.83076923076923082</v>
      </c>
      <c r="I630" s="75">
        <f t="shared" si="28"/>
        <v>0.12307692307692308</v>
      </c>
      <c r="J630" s="75">
        <f t="shared" si="29"/>
        <v>4.6153846153846156E-2</v>
      </c>
      <c r="K630" s="75"/>
      <c r="L630" s="75"/>
      <c r="M630"/>
    </row>
    <row r="631" spans="1:13" ht="13.15" x14ac:dyDescent="0.4">
      <c r="A631" s="73" t="s">
        <v>382</v>
      </c>
      <c r="B631" s="86">
        <v>5</v>
      </c>
      <c r="C631" s="86">
        <v>2</v>
      </c>
      <c r="D631" s="86">
        <v>3</v>
      </c>
      <c r="E631" s="86">
        <v>0</v>
      </c>
      <c r="F631" s="87"/>
      <c r="G631" s="75">
        <f>B631/5</f>
        <v>1</v>
      </c>
      <c r="H631" s="75">
        <f t="shared" si="27"/>
        <v>0.4</v>
      </c>
      <c r="I631" s="75">
        <f t="shared" si="28"/>
        <v>0.6</v>
      </c>
      <c r="J631" s="75">
        <f t="shared" si="29"/>
        <v>0</v>
      </c>
      <c r="K631" s="75"/>
      <c r="L631" s="72"/>
      <c r="M631"/>
    </row>
    <row r="632" spans="1:13" ht="13.15" x14ac:dyDescent="0.4">
      <c r="A632" s="73" t="s">
        <v>136</v>
      </c>
      <c r="B632" s="86">
        <v>30</v>
      </c>
      <c r="C632" s="86">
        <v>14</v>
      </c>
      <c r="D632" s="86">
        <v>10</v>
      </c>
      <c r="E632" s="86">
        <v>6</v>
      </c>
      <c r="F632" s="87"/>
      <c r="G632" s="75">
        <f>B632/30</f>
        <v>1</v>
      </c>
      <c r="H632" s="75">
        <f t="shared" si="27"/>
        <v>0.46666666666666667</v>
      </c>
      <c r="I632" s="75">
        <f t="shared" si="28"/>
        <v>0.33333333333333331</v>
      </c>
      <c r="J632" s="75">
        <f t="shared" si="29"/>
        <v>0.2</v>
      </c>
      <c r="K632" s="75"/>
      <c r="L632" s="72"/>
      <c r="M632"/>
    </row>
    <row r="633" spans="1:13" ht="13.15" x14ac:dyDescent="0.4">
      <c r="A633" s="73" t="s">
        <v>24</v>
      </c>
      <c r="B633" s="87">
        <v>499</v>
      </c>
      <c r="C633" s="86">
        <v>368</v>
      </c>
      <c r="D633" s="86">
        <v>86</v>
      </c>
      <c r="E633" s="87">
        <v>45</v>
      </c>
      <c r="F633" s="72"/>
      <c r="G633" s="75">
        <f>B633/502</f>
        <v>0.99402390438247012</v>
      </c>
      <c r="H633" s="75">
        <f t="shared" si="27"/>
        <v>0.73747494989979956</v>
      </c>
      <c r="I633" s="75">
        <f t="shared" si="28"/>
        <v>0.17234468937875752</v>
      </c>
      <c r="J633" s="75">
        <f t="shared" si="29"/>
        <v>9.0180360721442893E-2</v>
      </c>
      <c r="K633" s="72"/>
      <c r="L633" s="72"/>
      <c r="M633"/>
    </row>
    <row r="634" spans="1:13" ht="13.15" x14ac:dyDescent="0.4">
      <c r="A634" s="73"/>
      <c r="B634" s="87"/>
      <c r="C634" s="87"/>
      <c r="D634" s="87"/>
      <c r="E634" s="87"/>
      <c r="F634" s="72"/>
      <c r="G634" s="75"/>
      <c r="H634" s="75"/>
      <c r="I634" s="75"/>
      <c r="J634" s="75"/>
      <c r="K634" s="72"/>
      <c r="L634" s="72"/>
      <c r="M634"/>
    </row>
    <row r="635" spans="1:13" ht="13.15" x14ac:dyDescent="0.4">
      <c r="A635" s="73"/>
      <c r="B635" s="87"/>
      <c r="C635" s="86"/>
      <c r="D635" s="86"/>
      <c r="E635" s="87"/>
      <c r="F635" s="72"/>
      <c r="G635" s="75"/>
      <c r="H635" s="75"/>
      <c r="I635" s="75"/>
      <c r="J635" s="75"/>
      <c r="K635" s="74"/>
      <c r="L635" s="74"/>
      <c r="M635"/>
    </row>
    <row r="636" spans="1:13" ht="13.15" x14ac:dyDescent="0.4">
      <c r="A636" s="73" t="s">
        <v>240</v>
      </c>
      <c r="B636" s="87"/>
      <c r="C636" s="86"/>
      <c r="D636" s="86"/>
      <c r="E636" s="87"/>
      <c r="F636" s="72"/>
      <c r="G636" s="75"/>
      <c r="H636" s="75"/>
      <c r="I636" s="75"/>
      <c r="J636" s="75"/>
      <c r="K636" s="75"/>
      <c r="L636" s="75"/>
      <c r="M636"/>
    </row>
    <row r="637" spans="1:13" ht="13.15" x14ac:dyDescent="0.4">
      <c r="A637" s="73" t="s">
        <v>204</v>
      </c>
      <c r="B637" s="72" t="s">
        <v>141</v>
      </c>
      <c r="C637" s="72"/>
      <c r="D637" s="72"/>
      <c r="E637" s="72"/>
      <c r="F637" s="86"/>
      <c r="G637" s="72" t="s">
        <v>148</v>
      </c>
      <c r="H637" s="72"/>
      <c r="I637" s="72"/>
      <c r="J637" s="72"/>
      <c r="K637" s="75"/>
      <c r="L637" s="75"/>
      <c r="M637"/>
    </row>
    <row r="638" spans="1:13" ht="13.15" x14ac:dyDescent="0.4">
      <c r="A638" s="73" t="s">
        <v>137</v>
      </c>
      <c r="B638" s="74" t="s">
        <v>113</v>
      </c>
      <c r="C638" s="74" t="s">
        <v>114</v>
      </c>
      <c r="D638" s="74" t="s">
        <v>115</v>
      </c>
      <c r="E638" s="74" t="s">
        <v>116</v>
      </c>
      <c r="F638" s="86"/>
      <c r="G638" s="74" t="s">
        <v>113</v>
      </c>
      <c r="H638" s="74" t="s">
        <v>114</v>
      </c>
      <c r="I638" s="74" t="s">
        <v>115</v>
      </c>
      <c r="J638" s="74" t="s">
        <v>116</v>
      </c>
      <c r="K638" s="75"/>
      <c r="L638" s="75"/>
      <c r="M638" s="119"/>
    </row>
    <row r="639" spans="1:13" ht="13.15" x14ac:dyDescent="0.4">
      <c r="A639" s="73" t="s">
        <v>128</v>
      </c>
      <c r="B639" s="86">
        <v>45</v>
      </c>
      <c r="C639" s="86">
        <v>25</v>
      </c>
      <c r="D639" s="86">
        <v>15</v>
      </c>
      <c r="E639" s="86">
        <v>5</v>
      </c>
      <c r="F639" s="86"/>
      <c r="G639" s="75">
        <v>1</v>
      </c>
      <c r="H639" s="75">
        <v>0.55555555555555558</v>
      </c>
      <c r="I639" s="75">
        <v>0.33333333333333331</v>
      </c>
      <c r="J639" s="75">
        <v>0.1111111111111111</v>
      </c>
      <c r="K639" s="75"/>
      <c r="L639" s="75"/>
      <c r="M639" s="119"/>
    </row>
    <row r="640" spans="1:13" ht="13.15" x14ac:dyDescent="0.4">
      <c r="A640" s="73" t="s">
        <v>129</v>
      </c>
      <c r="B640" s="86">
        <v>30</v>
      </c>
      <c r="C640" s="86">
        <v>21</v>
      </c>
      <c r="D640" s="86">
        <v>7</v>
      </c>
      <c r="E640" s="86">
        <v>2</v>
      </c>
      <c r="F640" s="86"/>
      <c r="G640" s="75">
        <v>1</v>
      </c>
      <c r="H640" s="75">
        <v>0.7</v>
      </c>
      <c r="I640" s="75">
        <v>0.23333333333333334</v>
      </c>
      <c r="J640" s="75">
        <v>6.6666666666666666E-2</v>
      </c>
      <c r="K640" s="75"/>
      <c r="L640" s="75"/>
      <c r="M640" s="119"/>
    </row>
    <row r="641" spans="1:13" ht="13.15" x14ac:dyDescent="0.4">
      <c r="A641" s="73" t="s">
        <v>130</v>
      </c>
      <c r="B641" s="86">
        <v>64</v>
      </c>
      <c r="C641" s="86">
        <v>40</v>
      </c>
      <c r="D641" s="86">
        <v>12</v>
      </c>
      <c r="E641" s="86">
        <v>12</v>
      </c>
      <c r="F641" s="86"/>
      <c r="G641" s="75">
        <v>1</v>
      </c>
      <c r="H641" s="75">
        <v>0.625</v>
      </c>
      <c r="I641" s="75">
        <v>0.1875</v>
      </c>
      <c r="J641" s="75">
        <v>0.1875</v>
      </c>
      <c r="K641" s="75"/>
      <c r="L641" s="75"/>
      <c r="M641" s="119"/>
    </row>
    <row r="642" spans="1:13" ht="13.15" x14ac:dyDescent="0.4">
      <c r="A642" s="73" t="s">
        <v>131</v>
      </c>
      <c r="B642" s="86">
        <v>84</v>
      </c>
      <c r="C642" s="86">
        <v>55</v>
      </c>
      <c r="D642" s="86">
        <v>17</v>
      </c>
      <c r="E642" s="86">
        <v>12</v>
      </c>
      <c r="F642" s="86"/>
      <c r="G642" s="75">
        <v>1</v>
      </c>
      <c r="H642" s="75">
        <v>0.65476190476190477</v>
      </c>
      <c r="I642" s="75">
        <v>0.20238095238095238</v>
      </c>
      <c r="J642" s="75">
        <v>0.14285714285714285</v>
      </c>
      <c r="K642" s="75"/>
      <c r="L642" s="75"/>
      <c r="M642" s="119"/>
    </row>
    <row r="643" spans="1:13" ht="13.15" x14ac:dyDescent="0.4">
      <c r="A643" s="73" t="s">
        <v>132</v>
      </c>
      <c r="B643" s="86">
        <v>40</v>
      </c>
      <c r="C643" s="86">
        <v>19</v>
      </c>
      <c r="D643" s="86">
        <v>14</v>
      </c>
      <c r="E643" s="86">
        <v>7</v>
      </c>
      <c r="F643" s="86"/>
      <c r="G643" s="75">
        <v>1</v>
      </c>
      <c r="H643" s="75">
        <v>0.47499999999999998</v>
      </c>
      <c r="I643" s="75">
        <v>0.35</v>
      </c>
      <c r="J643" s="75">
        <v>0.17499999999999999</v>
      </c>
      <c r="K643" s="75"/>
      <c r="L643" s="75"/>
    </row>
    <row r="644" spans="1:13" ht="13.15" x14ac:dyDescent="0.4">
      <c r="A644" s="73" t="s">
        <v>133</v>
      </c>
      <c r="B644" s="86">
        <v>53</v>
      </c>
      <c r="C644" s="86">
        <v>44</v>
      </c>
      <c r="D644" s="86">
        <v>3</v>
      </c>
      <c r="E644" s="86">
        <v>6</v>
      </c>
      <c r="F644" s="86"/>
      <c r="G644" s="75">
        <v>1</v>
      </c>
      <c r="H644" s="75">
        <v>0.83018867924528306</v>
      </c>
      <c r="I644" s="75">
        <v>5.6603773584905662E-2</v>
      </c>
      <c r="J644" s="75">
        <v>0.11320754716981132</v>
      </c>
      <c r="K644" s="75"/>
      <c r="L644" s="75"/>
    </row>
    <row r="645" spans="1:13" ht="13.15" x14ac:dyDescent="0.4">
      <c r="A645" s="73" t="s">
        <v>134</v>
      </c>
      <c r="B645" s="86">
        <v>83</v>
      </c>
      <c r="C645" s="86">
        <v>59</v>
      </c>
      <c r="D645" s="86">
        <v>14</v>
      </c>
      <c r="E645" s="86">
        <v>10</v>
      </c>
      <c r="F645" s="87"/>
      <c r="G645" s="75">
        <v>0.98809523809523814</v>
      </c>
      <c r="H645" s="75">
        <v>0.71084337349397586</v>
      </c>
      <c r="I645" s="75">
        <v>0.16867469879518071</v>
      </c>
      <c r="J645" s="75">
        <v>0.12048192771084337</v>
      </c>
      <c r="K645" s="75"/>
      <c r="L645" s="75"/>
    </row>
    <row r="646" spans="1:13" ht="13.15" x14ac:dyDescent="0.4">
      <c r="A646" s="73" t="s">
        <v>135</v>
      </c>
      <c r="B646" s="86">
        <v>65</v>
      </c>
      <c r="C646" s="86">
        <v>47</v>
      </c>
      <c r="D646" s="86">
        <v>10</v>
      </c>
      <c r="E646" s="86">
        <v>8</v>
      </c>
      <c r="F646" s="87"/>
      <c r="G646" s="75">
        <v>0.98484848484848486</v>
      </c>
      <c r="H646" s="75">
        <v>0.72307692307692306</v>
      </c>
      <c r="I646" s="75">
        <v>0.15384615384615385</v>
      </c>
      <c r="J646" s="75">
        <v>0.12307692307692308</v>
      </c>
      <c r="K646" s="75"/>
      <c r="L646" s="75"/>
    </row>
    <row r="647" spans="1:13" ht="13.15" x14ac:dyDescent="0.4">
      <c r="A647" s="73" t="s">
        <v>382</v>
      </c>
      <c r="B647" s="86">
        <v>5</v>
      </c>
      <c r="C647" s="86">
        <v>1</v>
      </c>
      <c r="D647" s="86">
        <v>4</v>
      </c>
      <c r="E647" s="86">
        <v>0</v>
      </c>
      <c r="F647" s="87"/>
      <c r="G647" s="75">
        <v>1</v>
      </c>
      <c r="H647" s="75">
        <v>0.2</v>
      </c>
      <c r="I647" s="75">
        <v>0.8</v>
      </c>
      <c r="J647" s="75">
        <v>0</v>
      </c>
      <c r="K647" s="75"/>
      <c r="L647" s="75"/>
    </row>
    <row r="648" spans="1:13" ht="13.15" x14ac:dyDescent="0.4">
      <c r="A648" s="73" t="s">
        <v>136</v>
      </c>
      <c r="B648" s="86">
        <v>30</v>
      </c>
      <c r="C648" s="86">
        <v>17</v>
      </c>
      <c r="D648" s="86">
        <v>10</v>
      </c>
      <c r="E648" s="86">
        <v>3</v>
      </c>
      <c r="F648" s="87"/>
      <c r="G648" s="75">
        <v>1</v>
      </c>
      <c r="H648" s="75">
        <v>0.56666666666666665</v>
      </c>
      <c r="I648" s="75">
        <v>0.33333333333333331</v>
      </c>
      <c r="J648" s="75">
        <v>0.1</v>
      </c>
      <c r="K648" s="75"/>
      <c r="L648" s="75"/>
    </row>
    <row r="649" spans="1:13" ht="13.15" x14ac:dyDescent="0.4">
      <c r="A649" s="73" t="s">
        <v>24</v>
      </c>
      <c r="B649" s="87">
        <v>499</v>
      </c>
      <c r="C649" s="86">
        <v>328</v>
      </c>
      <c r="D649" s="86">
        <v>106</v>
      </c>
      <c r="E649" s="87">
        <v>65</v>
      </c>
      <c r="F649" s="72"/>
      <c r="G649" s="75">
        <v>0.99600798403193613</v>
      </c>
      <c r="H649" s="75">
        <v>0.65731462925851702</v>
      </c>
      <c r="I649" s="75">
        <v>0.21242484969939879</v>
      </c>
      <c r="J649" s="75">
        <v>0.13026052104208416</v>
      </c>
      <c r="K649" s="72"/>
      <c r="L649" s="72"/>
    </row>
    <row r="650" spans="1:13" ht="13.15" x14ac:dyDescent="0.4">
      <c r="A650" s="73"/>
      <c r="B650" s="87"/>
      <c r="C650" s="86"/>
      <c r="D650" s="86"/>
      <c r="E650" s="87"/>
      <c r="F650" s="72"/>
      <c r="G650" s="75"/>
      <c r="H650" s="75"/>
      <c r="I650" s="75"/>
      <c r="J650" s="75"/>
      <c r="K650" s="72"/>
      <c r="L650" s="72"/>
    </row>
    <row r="651" spans="1:13" ht="13.15" x14ac:dyDescent="0.4">
      <c r="A651" s="73"/>
      <c r="B651" s="87"/>
      <c r="C651" s="86"/>
      <c r="D651" s="86"/>
      <c r="E651" s="87"/>
      <c r="F651" s="72"/>
      <c r="G651" s="75"/>
      <c r="H651" s="75"/>
      <c r="I651" s="75"/>
      <c r="J651" s="75"/>
      <c r="K651" s="74"/>
      <c r="L651" s="72"/>
    </row>
    <row r="652" spans="1:13" ht="13.15" x14ac:dyDescent="0.4">
      <c r="A652" s="104" t="s">
        <v>247</v>
      </c>
      <c r="B652" s="72"/>
      <c r="C652" s="72"/>
      <c r="D652" s="72"/>
      <c r="E652" s="72"/>
      <c r="F652" s="74"/>
      <c r="G652" s="72"/>
      <c r="H652" s="72"/>
      <c r="I652" s="72"/>
      <c r="J652" s="72"/>
      <c r="K652" s="75"/>
      <c r="L652" s="74"/>
    </row>
    <row r="653" spans="1:13" ht="13.15" x14ac:dyDescent="0.4">
      <c r="A653" s="73" t="s">
        <v>195</v>
      </c>
      <c r="B653" s="72" t="s">
        <v>141</v>
      </c>
      <c r="C653" s="72"/>
      <c r="D653" s="72"/>
      <c r="E653" s="72"/>
      <c r="F653" s="86"/>
      <c r="G653" s="72" t="s">
        <v>148</v>
      </c>
      <c r="H653" s="72"/>
      <c r="I653" s="72"/>
      <c r="J653" s="72"/>
      <c r="K653" s="75"/>
      <c r="L653" s="75"/>
    </row>
    <row r="654" spans="1:13" ht="13.15" x14ac:dyDescent="0.4">
      <c r="A654" s="73" t="s">
        <v>137</v>
      </c>
      <c r="B654" s="74" t="s">
        <v>113</v>
      </c>
      <c r="C654" s="74" t="s">
        <v>114</v>
      </c>
      <c r="D654" s="74" t="s">
        <v>115</v>
      </c>
      <c r="E654" s="74" t="s">
        <v>116</v>
      </c>
      <c r="F654" s="86"/>
      <c r="G654" s="74" t="s">
        <v>113</v>
      </c>
      <c r="H654" s="74" t="s">
        <v>114</v>
      </c>
      <c r="I654" s="74" t="s">
        <v>115</v>
      </c>
      <c r="J654" s="74" t="s">
        <v>116</v>
      </c>
      <c r="K654" s="75"/>
      <c r="L654" s="75"/>
    </row>
    <row r="655" spans="1:13" ht="13.15" x14ac:dyDescent="0.4">
      <c r="A655" s="73" t="s">
        <v>128</v>
      </c>
      <c r="B655" s="86">
        <v>44</v>
      </c>
      <c r="C655" s="86">
        <v>35</v>
      </c>
      <c r="D655" s="86">
        <v>7</v>
      </c>
      <c r="E655" s="86">
        <v>2</v>
      </c>
      <c r="F655" s="86"/>
      <c r="G655" s="75">
        <f>B655/44</f>
        <v>1</v>
      </c>
      <c r="H655" s="75">
        <f>C655/B655</f>
        <v>0.79545454545454541</v>
      </c>
      <c r="I655" s="75">
        <f>D655/B655</f>
        <v>0.15909090909090909</v>
      </c>
      <c r="J655" s="75">
        <f>E655/B655</f>
        <v>4.5454545454545456E-2</v>
      </c>
      <c r="K655" s="75"/>
      <c r="L655" s="75"/>
    </row>
    <row r="656" spans="1:13" ht="13.15" x14ac:dyDescent="0.4">
      <c r="A656" s="73" t="s">
        <v>129</v>
      </c>
      <c r="B656" s="86">
        <v>31</v>
      </c>
      <c r="C656" s="86">
        <v>18</v>
      </c>
      <c r="D656" s="86">
        <v>8</v>
      </c>
      <c r="E656" s="86">
        <v>5</v>
      </c>
      <c r="F656" s="86"/>
      <c r="G656" s="75">
        <f>B656/31</f>
        <v>1</v>
      </c>
      <c r="H656" s="75">
        <f t="shared" ref="H656:H665" si="30">C656/B656</f>
        <v>0.58064516129032262</v>
      </c>
      <c r="I656" s="75">
        <f t="shared" ref="I656:I665" si="31">D656/B656</f>
        <v>0.25806451612903225</v>
      </c>
      <c r="J656" s="75">
        <f t="shared" ref="J656:J665" si="32">E656/B656</f>
        <v>0.16129032258064516</v>
      </c>
      <c r="K656" s="75"/>
      <c r="L656" s="75"/>
    </row>
    <row r="657" spans="1:12" ht="13.15" x14ac:dyDescent="0.4">
      <c r="A657" s="73" t="s">
        <v>130</v>
      </c>
      <c r="B657" s="86">
        <v>64</v>
      </c>
      <c r="C657" s="86">
        <v>43</v>
      </c>
      <c r="D657" s="86">
        <v>11</v>
      </c>
      <c r="E657" s="86">
        <v>10</v>
      </c>
      <c r="F657" s="86"/>
      <c r="G657" s="75">
        <f>B657/64</f>
        <v>1</v>
      </c>
      <c r="H657" s="75">
        <f t="shared" si="30"/>
        <v>0.671875</v>
      </c>
      <c r="I657" s="75">
        <f t="shared" si="31"/>
        <v>0.171875</v>
      </c>
      <c r="J657" s="75">
        <f t="shared" si="32"/>
        <v>0.15625</v>
      </c>
      <c r="K657" s="75"/>
      <c r="L657" s="75"/>
    </row>
    <row r="658" spans="1:12" ht="13.15" x14ac:dyDescent="0.4">
      <c r="A658" s="73" t="s">
        <v>131</v>
      </c>
      <c r="B658" s="86">
        <v>84</v>
      </c>
      <c r="C658" s="86">
        <v>55</v>
      </c>
      <c r="D658" s="86">
        <v>22</v>
      </c>
      <c r="E658" s="86">
        <v>7</v>
      </c>
      <c r="F658" s="86"/>
      <c r="G658" s="75">
        <f>B658/84</f>
        <v>1</v>
      </c>
      <c r="H658" s="75">
        <f t="shared" si="30"/>
        <v>0.65476190476190477</v>
      </c>
      <c r="I658" s="75">
        <f t="shared" si="31"/>
        <v>0.26190476190476192</v>
      </c>
      <c r="J658" s="75">
        <f t="shared" si="32"/>
        <v>8.3333333333333329E-2</v>
      </c>
      <c r="K658" s="75"/>
      <c r="L658" s="75"/>
    </row>
    <row r="659" spans="1:12" ht="13.15" x14ac:dyDescent="0.4">
      <c r="A659" s="73" t="s">
        <v>132</v>
      </c>
      <c r="B659" s="86">
        <v>39</v>
      </c>
      <c r="C659" s="86">
        <v>22</v>
      </c>
      <c r="D659" s="86">
        <v>13</v>
      </c>
      <c r="E659" s="86">
        <v>4</v>
      </c>
      <c r="F659" s="86"/>
      <c r="G659" s="75">
        <f>B659/41</f>
        <v>0.95121951219512191</v>
      </c>
      <c r="H659" s="75">
        <f t="shared" si="30"/>
        <v>0.5641025641025641</v>
      </c>
      <c r="I659" s="75">
        <f t="shared" si="31"/>
        <v>0.33333333333333331</v>
      </c>
      <c r="J659" s="75">
        <f t="shared" si="32"/>
        <v>0.10256410256410256</v>
      </c>
      <c r="K659" s="75"/>
      <c r="L659" s="75"/>
    </row>
    <row r="660" spans="1:12" ht="13.15" x14ac:dyDescent="0.4">
      <c r="A660" s="73" t="s">
        <v>133</v>
      </c>
      <c r="B660" s="86">
        <v>54</v>
      </c>
      <c r="C660" s="86">
        <v>35</v>
      </c>
      <c r="D660" s="86">
        <v>14</v>
      </c>
      <c r="E660" s="86">
        <v>5</v>
      </c>
      <c r="F660" s="86"/>
      <c r="G660" s="75">
        <f>B660/54</f>
        <v>1</v>
      </c>
      <c r="H660" s="75">
        <f t="shared" si="30"/>
        <v>0.64814814814814814</v>
      </c>
      <c r="I660" s="75">
        <f t="shared" si="31"/>
        <v>0.25925925925925924</v>
      </c>
      <c r="J660" s="75">
        <f t="shared" si="32"/>
        <v>9.2592592592592587E-2</v>
      </c>
      <c r="K660" s="75"/>
      <c r="L660" s="75"/>
    </row>
    <row r="661" spans="1:12" ht="13.15" x14ac:dyDescent="0.4">
      <c r="A661" s="73" t="s">
        <v>134</v>
      </c>
      <c r="B661" s="86">
        <v>82</v>
      </c>
      <c r="C661" s="86">
        <v>52</v>
      </c>
      <c r="D661" s="86">
        <v>22</v>
      </c>
      <c r="E661" s="86">
        <v>8</v>
      </c>
      <c r="F661" s="87"/>
      <c r="G661" s="75">
        <f>B661/82</f>
        <v>1</v>
      </c>
      <c r="H661" s="75">
        <f t="shared" si="30"/>
        <v>0.63414634146341464</v>
      </c>
      <c r="I661" s="75">
        <f t="shared" si="31"/>
        <v>0.26829268292682928</v>
      </c>
      <c r="J661" s="75">
        <f t="shared" si="32"/>
        <v>9.7560975609756101E-2</v>
      </c>
      <c r="K661" s="75"/>
      <c r="L661" s="75"/>
    </row>
    <row r="662" spans="1:12" ht="13.15" x14ac:dyDescent="0.4">
      <c r="A662" s="73" t="s">
        <v>135</v>
      </c>
      <c r="B662" s="86">
        <v>66</v>
      </c>
      <c r="C662" s="86">
        <v>50</v>
      </c>
      <c r="D662" s="86">
        <v>8</v>
      </c>
      <c r="E662" s="86">
        <v>8</v>
      </c>
      <c r="F662" s="87"/>
      <c r="G662" s="75">
        <f>B662/65</f>
        <v>1.0153846153846153</v>
      </c>
      <c r="H662" s="75">
        <f t="shared" si="30"/>
        <v>0.75757575757575757</v>
      </c>
      <c r="I662" s="75">
        <f t="shared" si="31"/>
        <v>0.12121212121212122</v>
      </c>
      <c r="J662" s="75">
        <f t="shared" si="32"/>
        <v>0.12121212121212122</v>
      </c>
      <c r="K662" s="75"/>
      <c r="L662" s="75"/>
    </row>
    <row r="663" spans="1:12" ht="13.15" x14ac:dyDescent="0.4">
      <c r="A663" s="73" t="s">
        <v>382</v>
      </c>
      <c r="B663" s="86">
        <v>5</v>
      </c>
      <c r="C663" s="86">
        <v>2</v>
      </c>
      <c r="D663" s="86">
        <v>3</v>
      </c>
      <c r="E663" s="86">
        <v>0</v>
      </c>
      <c r="F663" s="87"/>
      <c r="G663" s="75">
        <f>B663/5</f>
        <v>1</v>
      </c>
      <c r="H663" s="75">
        <f t="shared" si="30"/>
        <v>0.4</v>
      </c>
      <c r="I663" s="75">
        <f t="shared" si="31"/>
        <v>0.6</v>
      </c>
      <c r="J663" s="75">
        <f t="shared" si="32"/>
        <v>0</v>
      </c>
      <c r="K663" s="75"/>
      <c r="L663" s="75"/>
    </row>
    <row r="664" spans="1:12" ht="13.15" x14ac:dyDescent="0.4">
      <c r="A664" s="73" t="s">
        <v>136</v>
      </c>
      <c r="B664" s="86">
        <v>30</v>
      </c>
      <c r="C664" s="86">
        <v>23</v>
      </c>
      <c r="D664" s="86">
        <v>5</v>
      </c>
      <c r="E664" s="86">
        <v>2</v>
      </c>
      <c r="F664" s="87"/>
      <c r="G664" s="75">
        <f>B664/30</f>
        <v>1</v>
      </c>
      <c r="H664" s="75">
        <f t="shared" si="30"/>
        <v>0.76666666666666672</v>
      </c>
      <c r="I664" s="75">
        <f t="shared" si="31"/>
        <v>0.16666666666666666</v>
      </c>
      <c r="J664" s="75">
        <f t="shared" si="32"/>
        <v>6.6666666666666666E-2</v>
      </c>
      <c r="K664" s="75"/>
      <c r="L664" s="75"/>
    </row>
    <row r="665" spans="1:12" ht="13.15" x14ac:dyDescent="0.4">
      <c r="A665" s="73" t="s">
        <v>24</v>
      </c>
      <c r="B665" s="87">
        <v>499</v>
      </c>
      <c r="C665" s="86">
        <v>335</v>
      </c>
      <c r="D665" s="86">
        <v>113</v>
      </c>
      <c r="E665" s="87">
        <v>51</v>
      </c>
      <c r="F665" s="72"/>
      <c r="G665" s="75">
        <f>B665/500</f>
        <v>0.998</v>
      </c>
      <c r="H665" s="75">
        <f t="shared" si="30"/>
        <v>0.67134268537074149</v>
      </c>
      <c r="I665" s="75">
        <f t="shared" si="31"/>
        <v>0.22645290581162325</v>
      </c>
      <c r="J665" s="75">
        <f t="shared" si="32"/>
        <v>0.10220440881763528</v>
      </c>
      <c r="K665" s="72"/>
      <c r="L665" s="75"/>
    </row>
    <row r="666" spans="1:12" ht="13.15" x14ac:dyDescent="0.4">
      <c r="A666" s="73"/>
      <c r="B666" s="87"/>
      <c r="C666" s="86"/>
      <c r="D666" s="86"/>
      <c r="E666" s="87"/>
      <c r="F666" s="72"/>
      <c r="G666" s="75"/>
      <c r="H666" s="75"/>
      <c r="I666" s="75"/>
      <c r="J666" s="75"/>
      <c r="K666" s="74"/>
      <c r="L666" s="75"/>
    </row>
    <row r="667" spans="1:12" ht="13.15" x14ac:dyDescent="0.4">
      <c r="A667" s="73"/>
      <c r="B667" s="87"/>
      <c r="C667" s="86"/>
      <c r="D667" s="86"/>
      <c r="E667" s="87"/>
      <c r="F667" s="72"/>
      <c r="G667" s="75"/>
      <c r="H667" s="75"/>
      <c r="I667" s="75"/>
      <c r="J667" s="75"/>
      <c r="K667" s="75"/>
      <c r="L667" s="74"/>
    </row>
    <row r="668" spans="1:12" ht="13.15" x14ac:dyDescent="0.4">
      <c r="A668" s="104" t="s">
        <v>241</v>
      </c>
      <c r="B668" s="72"/>
      <c r="C668" s="72"/>
      <c r="D668" s="72"/>
      <c r="E668" s="72"/>
      <c r="F668" s="74"/>
      <c r="G668" s="72"/>
      <c r="H668" s="72"/>
      <c r="I668" s="72"/>
      <c r="J668" s="72"/>
      <c r="K668" s="75"/>
      <c r="L668" s="75"/>
    </row>
    <row r="669" spans="1:12" ht="13.15" x14ac:dyDescent="0.4">
      <c r="A669" s="73" t="s">
        <v>193</v>
      </c>
      <c r="B669" s="72" t="s">
        <v>141</v>
      </c>
      <c r="C669" s="72"/>
      <c r="D669" s="72"/>
      <c r="E669" s="72"/>
      <c r="F669" s="86"/>
      <c r="G669" s="72" t="s">
        <v>148</v>
      </c>
      <c r="H669" s="72"/>
      <c r="I669" s="72"/>
      <c r="J669" s="72"/>
      <c r="K669" s="75"/>
      <c r="L669" s="75"/>
    </row>
    <row r="670" spans="1:12" ht="13.15" x14ac:dyDescent="0.4">
      <c r="A670" s="73" t="s">
        <v>137</v>
      </c>
      <c r="B670" s="74" t="s">
        <v>113</v>
      </c>
      <c r="C670" s="74" t="s">
        <v>114</v>
      </c>
      <c r="D670" s="74" t="s">
        <v>115</v>
      </c>
      <c r="E670" s="74" t="s">
        <v>116</v>
      </c>
      <c r="F670" s="86"/>
      <c r="G670" s="74" t="s">
        <v>113</v>
      </c>
      <c r="H670" s="74" t="s">
        <v>114</v>
      </c>
      <c r="I670" s="74" t="s">
        <v>115</v>
      </c>
      <c r="J670" s="74" t="s">
        <v>116</v>
      </c>
      <c r="K670" s="75"/>
      <c r="L670" s="75"/>
    </row>
    <row r="671" spans="1:12" ht="13.15" x14ac:dyDescent="0.4">
      <c r="A671" s="73" t="s">
        <v>128</v>
      </c>
      <c r="B671" s="86">
        <v>44</v>
      </c>
      <c r="C671" s="86">
        <v>25</v>
      </c>
      <c r="D671" s="86">
        <v>16</v>
      </c>
      <c r="E671" s="86">
        <v>3</v>
      </c>
      <c r="F671" s="86"/>
      <c r="G671" s="75">
        <f>B671/44</f>
        <v>1</v>
      </c>
      <c r="H671" s="75">
        <f>C671/B671</f>
        <v>0.56818181818181823</v>
      </c>
      <c r="I671" s="75">
        <f>D671/B671</f>
        <v>0.36363636363636365</v>
      </c>
      <c r="J671" s="75">
        <f>E671/B671</f>
        <v>6.8181818181818177E-2</v>
      </c>
      <c r="K671" s="75"/>
      <c r="L671" s="75"/>
    </row>
    <row r="672" spans="1:12" ht="13.15" x14ac:dyDescent="0.4">
      <c r="A672" s="73" t="s">
        <v>129</v>
      </c>
      <c r="B672" s="86">
        <v>31</v>
      </c>
      <c r="C672" s="86">
        <v>21</v>
      </c>
      <c r="D672" s="86">
        <v>8</v>
      </c>
      <c r="E672" s="86">
        <v>2</v>
      </c>
      <c r="F672" s="86"/>
      <c r="G672" s="75">
        <f>B672/31</f>
        <v>1</v>
      </c>
      <c r="H672" s="75">
        <f t="shared" ref="H672:H681" si="33">C672/B672</f>
        <v>0.67741935483870963</v>
      </c>
      <c r="I672" s="75">
        <f t="shared" ref="I672:I681" si="34">D672/B672</f>
        <v>0.25806451612903225</v>
      </c>
      <c r="J672" s="75">
        <f t="shared" ref="J672:J681" si="35">E672/B672</f>
        <v>6.4516129032258063E-2</v>
      </c>
      <c r="K672" s="75"/>
      <c r="L672" s="75"/>
    </row>
    <row r="673" spans="1:12" ht="13.15" x14ac:dyDescent="0.4">
      <c r="A673" s="73" t="s">
        <v>130</v>
      </c>
      <c r="B673" s="86">
        <v>64</v>
      </c>
      <c r="C673" s="86">
        <v>37</v>
      </c>
      <c r="D673" s="86">
        <v>18</v>
      </c>
      <c r="E673" s="86">
        <v>9</v>
      </c>
      <c r="F673" s="86"/>
      <c r="G673" s="75">
        <f>B673/64</f>
        <v>1</v>
      </c>
      <c r="H673" s="75">
        <f t="shared" si="33"/>
        <v>0.578125</v>
      </c>
      <c r="I673" s="75">
        <f t="shared" si="34"/>
        <v>0.28125</v>
      </c>
      <c r="J673" s="75">
        <f t="shared" si="35"/>
        <v>0.140625</v>
      </c>
      <c r="K673" s="75"/>
      <c r="L673" s="75"/>
    </row>
    <row r="674" spans="1:12" ht="13.15" x14ac:dyDescent="0.4">
      <c r="A674" s="73" t="s">
        <v>131</v>
      </c>
      <c r="B674" s="86">
        <v>83</v>
      </c>
      <c r="C674" s="86">
        <v>50</v>
      </c>
      <c r="D674" s="86">
        <v>24</v>
      </c>
      <c r="E674" s="86">
        <v>9</v>
      </c>
      <c r="F674" s="86"/>
      <c r="G674" s="75">
        <f>B674/83</f>
        <v>1</v>
      </c>
      <c r="H674" s="75">
        <f t="shared" si="33"/>
        <v>0.60240963855421692</v>
      </c>
      <c r="I674" s="75">
        <f t="shared" si="34"/>
        <v>0.28915662650602408</v>
      </c>
      <c r="J674" s="75">
        <f t="shared" si="35"/>
        <v>0.10843373493975904</v>
      </c>
      <c r="K674" s="75"/>
      <c r="L674" s="75"/>
    </row>
    <row r="675" spans="1:12" ht="13.15" x14ac:dyDescent="0.4">
      <c r="A675" s="73" t="s">
        <v>132</v>
      </c>
      <c r="B675" s="86">
        <v>40</v>
      </c>
      <c r="C675" s="86">
        <v>22</v>
      </c>
      <c r="D675" s="86">
        <v>13</v>
      </c>
      <c r="E675" s="86">
        <v>5</v>
      </c>
      <c r="F675" s="86"/>
      <c r="G675" s="75">
        <f>B675/40</f>
        <v>1</v>
      </c>
      <c r="H675" s="75">
        <f t="shared" si="33"/>
        <v>0.55000000000000004</v>
      </c>
      <c r="I675" s="75">
        <f t="shared" si="34"/>
        <v>0.32500000000000001</v>
      </c>
      <c r="J675" s="75">
        <f t="shared" si="35"/>
        <v>0.125</v>
      </c>
      <c r="K675" s="75"/>
      <c r="L675" s="75"/>
    </row>
    <row r="676" spans="1:12" ht="13.15" x14ac:dyDescent="0.4">
      <c r="A676" s="73" t="s">
        <v>133</v>
      </c>
      <c r="B676" s="86">
        <v>54</v>
      </c>
      <c r="C676" s="86">
        <v>34</v>
      </c>
      <c r="D676" s="86">
        <v>8</v>
      </c>
      <c r="E676" s="86">
        <v>12</v>
      </c>
      <c r="F676" s="86"/>
      <c r="G676" s="75">
        <f>B676/55</f>
        <v>0.98181818181818181</v>
      </c>
      <c r="H676" s="75">
        <f t="shared" si="33"/>
        <v>0.62962962962962965</v>
      </c>
      <c r="I676" s="75">
        <f t="shared" si="34"/>
        <v>0.14814814814814814</v>
      </c>
      <c r="J676" s="75">
        <f t="shared" si="35"/>
        <v>0.22222222222222221</v>
      </c>
      <c r="K676" s="75"/>
      <c r="L676" s="75"/>
    </row>
    <row r="677" spans="1:12" ht="13.15" x14ac:dyDescent="0.4">
      <c r="A677" s="73" t="s">
        <v>134</v>
      </c>
      <c r="B677" s="86">
        <v>81</v>
      </c>
      <c r="C677" s="86">
        <v>56</v>
      </c>
      <c r="D677" s="86">
        <v>19</v>
      </c>
      <c r="E677" s="86">
        <v>6</v>
      </c>
      <c r="F677" s="87"/>
      <c r="G677" s="75">
        <f>B677/81</f>
        <v>1</v>
      </c>
      <c r="H677" s="75">
        <f t="shared" si="33"/>
        <v>0.69135802469135799</v>
      </c>
      <c r="I677" s="75">
        <f t="shared" si="34"/>
        <v>0.23456790123456789</v>
      </c>
      <c r="J677" s="75">
        <f t="shared" si="35"/>
        <v>7.407407407407407E-2</v>
      </c>
      <c r="K677" s="75"/>
      <c r="L677" s="75"/>
    </row>
    <row r="678" spans="1:12" ht="13.15" x14ac:dyDescent="0.4">
      <c r="A678" s="73" t="s">
        <v>135</v>
      </c>
      <c r="B678" s="86">
        <v>65</v>
      </c>
      <c r="C678" s="86">
        <v>49</v>
      </c>
      <c r="D678" s="86">
        <v>11</v>
      </c>
      <c r="E678" s="86">
        <v>5</v>
      </c>
      <c r="F678" s="87"/>
      <c r="G678" s="75">
        <f>B678/65</f>
        <v>1</v>
      </c>
      <c r="H678" s="75">
        <f t="shared" si="33"/>
        <v>0.75384615384615383</v>
      </c>
      <c r="I678" s="75">
        <f t="shared" si="34"/>
        <v>0.16923076923076924</v>
      </c>
      <c r="J678" s="75">
        <f t="shared" si="35"/>
        <v>7.6923076923076927E-2</v>
      </c>
      <c r="K678" s="75"/>
      <c r="L678" s="75"/>
    </row>
    <row r="679" spans="1:12" ht="13.15" x14ac:dyDescent="0.4">
      <c r="A679" s="73" t="s">
        <v>382</v>
      </c>
      <c r="B679" s="86">
        <v>6</v>
      </c>
      <c r="C679" s="86">
        <v>4</v>
      </c>
      <c r="D679" s="86">
        <v>1</v>
      </c>
      <c r="E679" s="86">
        <v>1</v>
      </c>
      <c r="F679" s="87"/>
      <c r="G679" s="75">
        <f>B679/6</f>
        <v>1</v>
      </c>
      <c r="H679" s="75">
        <f t="shared" si="33"/>
        <v>0.66666666666666663</v>
      </c>
      <c r="I679" s="75">
        <f t="shared" si="34"/>
        <v>0.16666666666666666</v>
      </c>
      <c r="J679" s="75">
        <f t="shared" si="35"/>
        <v>0.16666666666666666</v>
      </c>
      <c r="K679" s="75"/>
      <c r="L679" s="75"/>
    </row>
    <row r="680" spans="1:12" ht="13.15" x14ac:dyDescent="0.4">
      <c r="A680" s="73" t="s">
        <v>136</v>
      </c>
      <c r="B680" s="86">
        <v>31</v>
      </c>
      <c r="C680" s="86">
        <v>21</v>
      </c>
      <c r="D680" s="86">
        <v>8</v>
      </c>
      <c r="E680" s="86">
        <v>2</v>
      </c>
      <c r="F680" s="87"/>
      <c r="G680" s="75">
        <f>B680/31</f>
        <v>1</v>
      </c>
      <c r="H680" s="75">
        <f t="shared" si="33"/>
        <v>0.67741935483870963</v>
      </c>
      <c r="I680" s="75">
        <f t="shared" si="34"/>
        <v>0.25806451612903225</v>
      </c>
      <c r="J680" s="75">
        <f t="shared" si="35"/>
        <v>6.4516129032258063E-2</v>
      </c>
      <c r="K680" s="72"/>
      <c r="L680" s="75"/>
    </row>
    <row r="681" spans="1:12" ht="13.15" x14ac:dyDescent="0.4">
      <c r="A681" s="73" t="s">
        <v>24</v>
      </c>
      <c r="B681" s="87">
        <v>499</v>
      </c>
      <c r="C681" s="86">
        <v>319</v>
      </c>
      <c r="D681" s="86">
        <v>126</v>
      </c>
      <c r="E681" s="87">
        <v>54</v>
      </c>
      <c r="F681" s="72"/>
      <c r="G681" s="75">
        <f>B681/500</f>
        <v>0.998</v>
      </c>
      <c r="H681" s="75">
        <f t="shared" si="33"/>
        <v>0.63927855711422843</v>
      </c>
      <c r="I681" s="75">
        <f t="shared" si="34"/>
        <v>0.25250501002004005</v>
      </c>
      <c r="J681" s="75">
        <f t="shared" si="35"/>
        <v>0.10821643286573146</v>
      </c>
      <c r="K681" s="72"/>
      <c r="L681" s="75"/>
    </row>
    <row r="682" spans="1:12" ht="13.15" x14ac:dyDescent="0.4">
      <c r="A682" s="73"/>
      <c r="B682" s="87"/>
      <c r="C682" s="87"/>
      <c r="D682" s="87"/>
      <c r="E682" s="87"/>
      <c r="F682" s="72"/>
      <c r="G682" s="75"/>
      <c r="H682" s="75"/>
      <c r="I682" s="75"/>
      <c r="J682" s="75"/>
      <c r="K682" s="74"/>
      <c r="L682" s="72"/>
    </row>
    <row r="683" spans="1:12" ht="13.15" x14ac:dyDescent="0.4">
      <c r="A683" s="73"/>
      <c r="B683" s="87"/>
      <c r="C683" s="86"/>
      <c r="D683" s="86"/>
      <c r="E683" s="87"/>
      <c r="F683" s="72"/>
      <c r="G683" s="75"/>
      <c r="H683" s="75"/>
      <c r="I683" s="75"/>
      <c r="J683" s="75"/>
      <c r="K683" s="75"/>
      <c r="L683" s="74"/>
    </row>
    <row r="684" spans="1:12" ht="13.15" x14ac:dyDescent="0.4">
      <c r="A684" s="73" t="s">
        <v>179</v>
      </c>
      <c r="B684" s="72" t="s">
        <v>141</v>
      </c>
      <c r="C684" s="72"/>
      <c r="D684" s="72"/>
      <c r="E684" s="72"/>
      <c r="F684" s="86"/>
      <c r="G684" s="72" t="s">
        <v>148</v>
      </c>
      <c r="H684" s="72"/>
      <c r="I684" s="72"/>
      <c r="J684" s="72"/>
      <c r="K684" s="75"/>
      <c r="L684" s="75"/>
    </row>
    <row r="685" spans="1:12" ht="13.15" x14ac:dyDescent="0.4">
      <c r="A685" s="73" t="s">
        <v>137</v>
      </c>
      <c r="B685" s="74" t="s">
        <v>113</v>
      </c>
      <c r="C685" s="74" t="s">
        <v>114</v>
      </c>
      <c r="D685" s="74" t="s">
        <v>115</v>
      </c>
      <c r="E685" s="74" t="s">
        <v>116</v>
      </c>
      <c r="F685" s="86"/>
      <c r="G685" s="74" t="s">
        <v>113</v>
      </c>
      <c r="H685" s="74" t="s">
        <v>114</v>
      </c>
      <c r="I685" s="74" t="s">
        <v>115</v>
      </c>
      <c r="J685" s="74" t="s">
        <v>116</v>
      </c>
      <c r="K685" s="75"/>
      <c r="L685" s="75"/>
    </row>
    <row r="686" spans="1:12" ht="13.15" x14ac:dyDescent="0.4">
      <c r="A686" s="73" t="s">
        <v>128</v>
      </c>
      <c r="B686" s="86">
        <v>43</v>
      </c>
      <c r="C686" s="86">
        <v>28</v>
      </c>
      <c r="D686" s="86">
        <v>15</v>
      </c>
      <c r="E686" s="86">
        <v>0</v>
      </c>
      <c r="F686" s="86"/>
      <c r="G686" s="75">
        <f>B686/43</f>
        <v>1</v>
      </c>
      <c r="H686" s="75">
        <f>C686/B686</f>
        <v>0.65116279069767447</v>
      </c>
      <c r="I686" s="75">
        <f>D686/B686</f>
        <v>0.34883720930232559</v>
      </c>
      <c r="J686" s="75">
        <f>E686/B686</f>
        <v>0</v>
      </c>
      <c r="K686" s="75"/>
      <c r="L686" s="75"/>
    </row>
    <row r="687" spans="1:12" ht="13.15" x14ac:dyDescent="0.4">
      <c r="A687" s="73" t="s">
        <v>129</v>
      </c>
      <c r="B687" s="86">
        <v>31</v>
      </c>
      <c r="C687" s="86">
        <v>20</v>
      </c>
      <c r="D687" s="86">
        <v>8</v>
      </c>
      <c r="E687" s="86">
        <v>3</v>
      </c>
      <c r="F687" s="86"/>
      <c r="G687" s="75">
        <f>B687/31</f>
        <v>1</v>
      </c>
      <c r="H687" s="75">
        <f t="shared" ref="H687:H696" si="36">C687/B687</f>
        <v>0.64516129032258063</v>
      </c>
      <c r="I687" s="75">
        <f t="shared" ref="I687:I696" si="37">D687/B687</f>
        <v>0.25806451612903225</v>
      </c>
      <c r="J687" s="75">
        <f t="shared" ref="J687:J696" si="38">E687/B687</f>
        <v>9.6774193548387094E-2</v>
      </c>
      <c r="K687" s="75"/>
      <c r="L687" s="75"/>
    </row>
    <row r="688" spans="1:12" ht="13.15" x14ac:dyDescent="0.4">
      <c r="A688" s="73" t="s">
        <v>130</v>
      </c>
      <c r="B688" s="86">
        <v>63</v>
      </c>
      <c r="C688" s="86">
        <v>39</v>
      </c>
      <c r="D688" s="86">
        <v>13</v>
      </c>
      <c r="E688" s="86">
        <v>11</v>
      </c>
      <c r="F688" s="86"/>
      <c r="G688" s="75">
        <f>B688/63</f>
        <v>1</v>
      </c>
      <c r="H688" s="75">
        <f t="shared" si="36"/>
        <v>0.61904761904761907</v>
      </c>
      <c r="I688" s="75">
        <f t="shared" si="37"/>
        <v>0.20634920634920634</v>
      </c>
      <c r="J688" s="75">
        <f t="shared" si="38"/>
        <v>0.17460317460317459</v>
      </c>
      <c r="K688" s="75"/>
      <c r="L688" s="75"/>
    </row>
    <row r="689" spans="1:12" ht="13.15" x14ac:dyDescent="0.4">
      <c r="A689" s="73" t="s">
        <v>131</v>
      </c>
      <c r="B689" s="86">
        <v>83</v>
      </c>
      <c r="C689" s="86">
        <v>57</v>
      </c>
      <c r="D689" s="86">
        <v>18</v>
      </c>
      <c r="E689" s="86">
        <v>8</v>
      </c>
      <c r="F689" s="86"/>
      <c r="G689" s="75">
        <f>B689/83</f>
        <v>1</v>
      </c>
      <c r="H689" s="75">
        <f t="shared" si="36"/>
        <v>0.68674698795180722</v>
      </c>
      <c r="I689" s="75">
        <f t="shared" si="37"/>
        <v>0.21686746987951808</v>
      </c>
      <c r="J689" s="75">
        <f t="shared" si="38"/>
        <v>9.6385542168674704E-2</v>
      </c>
      <c r="K689" s="75"/>
      <c r="L689" s="75"/>
    </row>
    <row r="690" spans="1:12" ht="13.15" x14ac:dyDescent="0.4">
      <c r="A690" s="73" t="s">
        <v>132</v>
      </c>
      <c r="B690" s="86">
        <v>40</v>
      </c>
      <c r="C690" s="86">
        <v>24</v>
      </c>
      <c r="D690" s="86">
        <v>8</v>
      </c>
      <c r="E690" s="86">
        <v>8</v>
      </c>
      <c r="F690" s="86"/>
      <c r="G690" s="75">
        <f>B690/40</f>
        <v>1</v>
      </c>
      <c r="H690" s="75">
        <f t="shared" si="36"/>
        <v>0.6</v>
      </c>
      <c r="I690" s="75">
        <f t="shared" si="37"/>
        <v>0.2</v>
      </c>
      <c r="J690" s="75">
        <f t="shared" si="38"/>
        <v>0.2</v>
      </c>
      <c r="K690" s="75"/>
      <c r="L690" s="75"/>
    </row>
    <row r="691" spans="1:12" ht="13.15" x14ac:dyDescent="0.4">
      <c r="A691" s="73" t="s">
        <v>133</v>
      </c>
      <c r="B691" s="86">
        <v>55</v>
      </c>
      <c r="C691" s="86">
        <v>41</v>
      </c>
      <c r="D691" s="86">
        <v>6</v>
      </c>
      <c r="E691" s="86">
        <v>8</v>
      </c>
      <c r="F691" s="86"/>
      <c r="G691" s="75">
        <f>B691/55</f>
        <v>1</v>
      </c>
      <c r="H691" s="75">
        <f t="shared" si="36"/>
        <v>0.74545454545454548</v>
      </c>
      <c r="I691" s="75">
        <f t="shared" si="37"/>
        <v>0.10909090909090909</v>
      </c>
      <c r="J691" s="75">
        <f t="shared" si="38"/>
        <v>0.14545454545454545</v>
      </c>
      <c r="K691" s="75"/>
      <c r="L691" s="75"/>
    </row>
    <row r="692" spans="1:12" ht="13.15" x14ac:dyDescent="0.4">
      <c r="A692" s="73" t="s">
        <v>134</v>
      </c>
      <c r="B692" s="86">
        <v>81</v>
      </c>
      <c r="C692" s="86">
        <v>48</v>
      </c>
      <c r="D692" s="86">
        <v>27</v>
      </c>
      <c r="E692" s="86">
        <v>6</v>
      </c>
      <c r="F692" s="87"/>
      <c r="G692" s="75">
        <f>B692/81</f>
        <v>1</v>
      </c>
      <c r="H692" s="75">
        <f t="shared" si="36"/>
        <v>0.59259259259259256</v>
      </c>
      <c r="I692" s="75">
        <f t="shared" si="37"/>
        <v>0.33333333333333331</v>
      </c>
      <c r="J692" s="75">
        <f t="shared" si="38"/>
        <v>7.407407407407407E-2</v>
      </c>
      <c r="K692" s="75"/>
      <c r="L692" s="75"/>
    </row>
    <row r="693" spans="1:12" ht="13.15" x14ac:dyDescent="0.4">
      <c r="A693" s="73" t="s">
        <v>135</v>
      </c>
      <c r="B693" s="86">
        <v>66</v>
      </c>
      <c r="C693" s="86">
        <v>55</v>
      </c>
      <c r="D693" s="86">
        <v>7</v>
      </c>
      <c r="E693" s="86">
        <v>4</v>
      </c>
      <c r="F693" s="87"/>
      <c r="G693" s="75">
        <f>B693/67</f>
        <v>0.9850746268656716</v>
      </c>
      <c r="H693" s="75">
        <f t="shared" si="36"/>
        <v>0.83333333333333337</v>
      </c>
      <c r="I693" s="75">
        <f t="shared" si="37"/>
        <v>0.10606060606060606</v>
      </c>
      <c r="J693" s="75">
        <f t="shared" si="38"/>
        <v>6.0606060606060608E-2</v>
      </c>
      <c r="K693" s="75"/>
      <c r="L693" s="75"/>
    </row>
    <row r="694" spans="1:12" ht="13.15" x14ac:dyDescent="0.4">
      <c r="A694" s="73" t="s">
        <v>382</v>
      </c>
      <c r="B694" s="86">
        <v>6</v>
      </c>
      <c r="C694" s="86">
        <v>2</v>
      </c>
      <c r="D694" s="86">
        <v>2</v>
      </c>
      <c r="E694" s="86">
        <v>2</v>
      </c>
      <c r="F694" s="87"/>
      <c r="G694" s="75">
        <f>B694/6</f>
        <v>1</v>
      </c>
      <c r="H694" s="75">
        <f t="shared" si="36"/>
        <v>0.33333333333333331</v>
      </c>
      <c r="I694" s="75">
        <f t="shared" si="37"/>
        <v>0.33333333333333331</v>
      </c>
      <c r="J694" s="75">
        <f t="shared" si="38"/>
        <v>0.33333333333333331</v>
      </c>
      <c r="K694" s="75"/>
      <c r="L694" s="75"/>
    </row>
    <row r="695" spans="1:12" ht="13.15" x14ac:dyDescent="0.4">
      <c r="A695" s="73" t="s">
        <v>136</v>
      </c>
      <c r="B695" s="86">
        <v>31</v>
      </c>
      <c r="C695" s="86">
        <v>16</v>
      </c>
      <c r="D695" s="86">
        <v>12</v>
      </c>
      <c r="E695" s="86">
        <v>3</v>
      </c>
      <c r="F695" s="87"/>
      <c r="G695" s="75">
        <f>B695/31</f>
        <v>1</v>
      </c>
      <c r="H695" s="75">
        <f t="shared" si="36"/>
        <v>0.5161290322580645</v>
      </c>
      <c r="I695" s="75">
        <f t="shared" si="37"/>
        <v>0.38709677419354838</v>
      </c>
      <c r="J695" s="75">
        <f t="shared" si="38"/>
        <v>9.6774193548387094E-2</v>
      </c>
      <c r="K695" s="75"/>
      <c r="L695" s="75"/>
    </row>
    <row r="696" spans="1:12" ht="13.15" x14ac:dyDescent="0.4">
      <c r="A696" s="73" t="s">
        <v>24</v>
      </c>
      <c r="B696" s="87">
        <v>499</v>
      </c>
      <c r="C696" s="86">
        <v>330</v>
      </c>
      <c r="D696" s="86">
        <v>116</v>
      </c>
      <c r="E696" s="87">
        <v>53</v>
      </c>
      <c r="F696" s="72"/>
      <c r="G696" s="75">
        <f>B696/500</f>
        <v>0.998</v>
      </c>
      <c r="H696" s="75">
        <f t="shared" si="36"/>
        <v>0.66132264529058116</v>
      </c>
      <c r="I696" s="75">
        <f t="shared" si="37"/>
        <v>0.23246492985971945</v>
      </c>
      <c r="J696" s="75">
        <f t="shared" si="38"/>
        <v>0.10621242484969939</v>
      </c>
      <c r="K696" s="72"/>
      <c r="L696" s="75"/>
    </row>
    <row r="697" spans="1:12" ht="13.15" x14ac:dyDescent="0.4">
      <c r="A697" s="73"/>
      <c r="B697" s="87"/>
      <c r="C697" s="87"/>
      <c r="D697" s="87"/>
      <c r="E697" s="87"/>
      <c r="F697" s="72"/>
      <c r="G697" s="75"/>
      <c r="H697" s="75"/>
      <c r="I697" s="75"/>
      <c r="J697" s="75"/>
      <c r="K697" s="72"/>
      <c r="L697" s="75"/>
    </row>
    <row r="698" spans="1:12" ht="13.15" x14ac:dyDescent="0.4">
      <c r="A698" s="73"/>
      <c r="B698" s="87"/>
      <c r="C698" s="86"/>
      <c r="D698" s="86"/>
      <c r="E698" s="87"/>
      <c r="F698" s="72"/>
      <c r="G698" s="75"/>
      <c r="H698" s="75"/>
      <c r="I698" s="75"/>
      <c r="J698" s="75"/>
      <c r="K698" s="74"/>
      <c r="L698" s="72"/>
    </row>
    <row r="699" spans="1:12" ht="13.15" x14ac:dyDescent="0.4">
      <c r="A699" s="104" t="s">
        <v>242</v>
      </c>
      <c r="B699" s="72"/>
      <c r="C699" s="72"/>
      <c r="D699" s="72"/>
      <c r="E699" s="72"/>
      <c r="F699" s="74"/>
      <c r="G699" s="72"/>
      <c r="H699" s="72"/>
      <c r="I699" s="72"/>
      <c r="J699" s="72"/>
      <c r="K699" s="75"/>
      <c r="L699" s="74"/>
    </row>
    <row r="700" spans="1:12" ht="13.15" x14ac:dyDescent="0.4">
      <c r="A700" s="73" t="s">
        <v>178</v>
      </c>
      <c r="B700" s="72" t="s">
        <v>141</v>
      </c>
      <c r="C700" s="72"/>
      <c r="D700" s="72"/>
      <c r="E700" s="72"/>
      <c r="F700" s="86"/>
      <c r="G700" s="72" t="s">
        <v>148</v>
      </c>
      <c r="H700" s="72"/>
      <c r="I700" s="72"/>
      <c r="J700" s="72"/>
      <c r="K700" s="75"/>
      <c r="L700" s="75"/>
    </row>
    <row r="701" spans="1:12" ht="13.15" x14ac:dyDescent="0.4">
      <c r="A701" s="73" t="s">
        <v>137</v>
      </c>
      <c r="B701" s="74" t="s">
        <v>113</v>
      </c>
      <c r="C701" s="74" t="s">
        <v>114</v>
      </c>
      <c r="D701" s="74" t="s">
        <v>115</v>
      </c>
      <c r="E701" s="74" t="s">
        <v>116</v>
      </c>
      <c r="F701" s="86"/>
      <c r="G701" s="74" t="s">
        <v>113</v>
      </c>
      <c r="H701" s="74" t="s">
        <v>114</v>
      </c>
      <c r="I701" s="74" t="s">
        <v>115</v>
      </c>
      <c r="J701" s="74" t="s">
        <v>116</v>
      </c>
      <c r="K701" s="75"/>
      <c r="L701" s="75"/>
    </row>
    <row r="702" spans="1:12" ht="13.15" x14ac:dyDescent="0.4">
      <c r="A702" s="73" t="s">
        <v>128</v>
      </c>
      <c r="B702" s="86">
        <v>43</v>
      </c>
      <c r="C702" s="86">
        <v>26</v>
      </c>
      <c r="D702" s="86">
        <v>16</v>
      </c>
      <c r="E702" s="86">
        <v>1</v>
      </c>
      <c r="F702" s="86"/>
      <c r="G702" s="75">
        <f>B702/43</f>
        <v>1</v>
      </c>
      <c r="H702" s="75">
        <f>C702/B702</f>
        <v>0.60465116279069764</v>
      </c>
      <c r="I702" s="75">
        <f>D702/B702</f>
        <v>0.37209302325581395</v>
      </c>
      <c r="J702" s="75">
        <f>E702/B702</f>
        <v>2.3255813953488372E-2</v>
      </c>
      <c r="K702" s="75"/>
      <c r="L702" s="75"/>
    </row>
    <row r="703" spans="1:12" ht="13.15" x14ac:dyDescent="0.4">
      <c r="A703" s="73" t="s">
        <v>129</v>
      </c>
      <c r="B703" s="86">
        <v>30</v>
      </c>
      <c r="C703" s="86">
        <v>17</v>
      </c>
      <c r="D703" s="86">
        <v>9</v>
      </c>
      <c r="E703" s="86">
        <v>4</v>
      </c>
      <c r="F703" s="86"/>
      <c r="G703" s="75">
        <f>B703/30</f>
        <v>1</v>
      </c>
      <c r="H703" s="75">
        <f t="shared" ref="H703:H712" si="39">C703/B703</f>
        <v>0.56666666666666665</v>
      </c>
      <c r="I703" s="75">
        <f t="shared" ref="I703:I712" si="40">D703/B703</f>
        <v>0.3</v>
      </c>
      <c r="J703" s="75">
        <f t="shared" ref="J703:J712" si="41">E703/B703</f>
        <v>0.13333333333333333</v>
      </c>
      <c r="K703" s="75"/>
      <c r="L703" s="75"/>
    </row>
    <row r="704" spans="1:12" ht="13.15" x14ac:dyDescent="0.4">
      <c r="A704" s="73" t="s">
        <v>130</v>
      </c>
      <c r="B704" s="86">
        <v>61</v>
      </c>
      <c r="C704" s="86">
        <v>39</v>
      </c>
      <c r="D704" s="86">
        <v>16</v>
      </c>
      <c r="E704" s="86">
        <v>6</v>
      </c>
      <c r="F704" s="86"/>
      <c r="G704" s="75">
        <f>B704/61</f>
        <v>1</v>
      </c>
      <c r="H704" s="75">
        <f t="shared" si="39"/>
        <v>0.63934426229508201</v>
      </c>
      <c r="I704" s="75">
        <f t="shared" si="40"/>
        <v>0.26229508196721313</v>
      </c>
      <c r="J704" s="75">
        <f t="shared" si="41"/>
        <v>9.8360655737704916E-2</v>
      </c>
      <c r="K704" s="75"/>
      <c r="L704" s="75"/>
    </row>
    <row r="705" spans="1:13" ht="13.15" x14ac:dyDescent="0.4">
      <c r="A705" s="73" t="s">
        <v>131</v>
      </c>
      <c r="B705" s="86">
        <v>83</v>
      </c>
      <c r="C705" s="86">
        <v>53</v>
      </c>
      <c r="D705" s="86">
        <v>26</v>
      </c>
      <c r="E705" s="86">
        <v>4</v>
      </c>
      <c r="F705" s="86"/>
      <c r="G705" s="75">
        <f>B705/83</f>
        <v>1</v>
      </c>
      <c r="H705" s="75">
        <f t="shared" si="39"/>
        <v>0.63855421686746983</v>
      </c>
      <c r="I705" s="75">
        <f t="shared" si="40"/>
        <v>0.31325301204819278</v>
      </c>
      <c r="J705" s="75">
        <f t="shared" si="41"/>
        <v>4.8192771084337352E-2</v>
      </c>
      <c r="K705" s="75"/>
      <c r="L705" s="75"/>
    </row>
    <row r="706" spans="1:13" ht="13.15" x14ac:dyDescent="0.4">
      <c r="A706" s="73" t="s">
        <v>132</v>
      </c>
      <c r="B706" s="86">
        <v>40</v>
      </c>
      <c r="C706" s="86">
        <v>25</v>
      </c>
      <c r="D706" s="86">
        <v>9</v>
      </c>
      <c r="E706" s="86">
        <v>6</v>
      </c>
      <c r="F706" s="86"/>
      <c r="G706" s="75">
        <f>B706/40</f>
        <v>1</v>
      </c>
      <c r="H706" s="75">
        <f t="shared" si="39"/>
        <v>0.625</v>
      </c>
      <c r="I706" s="75">
        <f t="shared" si="40"/>
        <v>0.22500000000000001</v>
      </c>
      <c r="J706" s="75">
        <f t="shared" si="41"/>
        <v>0.15</v>
      </c>
      <c r="K706" s="75"/>
      <c r="L706" s="75"/>
    </row>
    <row r="707" spans="1:13" ht="13.15" x14ac:dyDescent="0.4">
      <c r="A707" s="73" t="s">
        <v>133</v>
      </c>
      <c r="B707" s="86">
        <v>54</v>
      </c>
      <c r="C707" s="86">
        <v>40</v>
      </c>
      <c r="D707" s="86">
        <v>9</v>
      </c>
      <c r="E707" s="86">
        <v>5</v>
      </c>
      <c r="F707" s="86"/>
      <c r="G707" s="75">
        <f>B707/54</f>
        <v>1</v>
      </c>
      <c r="H707" s="75">
        <f t="shared" si="39"/>
        <v>0.7407407407407407</v>
      </c>
      <c r="I707" s="75">
        <f t="shared" si="40"/>
        <v>0.16666666666666666</v>
      </c>
      <c r="J707" s="75">
        <f t="shared" si="41"/>
        <v>9.2592592592592587E-2</v>
      </c>
      <c r="K707" s="75"/>
      <c r="L707" s="75"/>
    </row>
    <row r="708" spans="1:13" ht="13.15" x14ac:dyDescent="0.4">
      <c r="A708" s="73" t="s">
        <v>134</v>
      </c>
      <c r="B708" s="86">
        <v>81</v>
      </c>
      <c r="C708" s="86">
        <v>57</v>
      </c>
      <c r="D708" s="86">
        <v>20</v>
      </c>
      <c r="E708" s="86">
        <v>4</v>
      </c>
      <c r="F708" s="87"/>
      <c r="G708" s="75">
        <f>B708/81</f>
        <v>1</v>
      </c>
      <c r="H708" s="75">
        <f t="shared" si="39"/>
        <v>0.70370370370370372</v>
      </c>
      <c r="I708" s="75">
        <f t="shared" si="40"/>
        <v>0.24691358024691357</v>
      </c>
      <c r="J708" s="75">
        <f t="shared" si="41"/>
        <v>4.9382716049382713E-2</v>
      </c>
      <c r="K708" s="75"/>
      <c r="L708" s="75"/>
    </row>
    <row r="709" spans="1:13" ht="13.15" x14ac:dyDescent="0.4">
      <c r="A709" s="73" t="s">
        <v>135</v>
      </c>
      <c r="B709" s="86">
        <v>70</v>
      </c>
      <c r="C709" s="86">
        <v>51</v>
      </c>
      <c r="D709" s="86">
        <v>13</v>
      </c>
      <c r="E709" s="86">
        <v>6</v>
      </c>
      <c r="F709" s="87"/>
      <c r="G709" s="75">
        <f>B709/70</f>
        <v>1</v>
      </c>
      <c r="H709" s="75">
        <f t="shared" si="39"/>
        <v>0.72857142857142854</v>
      </c>
      <c r="I709" s="75">
        <f t="shared" si="40"/>
        <v>0.18571428571428572</v>
      </c>
      <c r="J709" s="75">
        <f t="shared" si="41"/>
        <v>8.5714285714285715E-2</v>
      </c>
      <c r="K709" s="75"/>
      <c r="L709" s="75"/>
    </row>
    <row r="710" spans="1:13" ht="13.15" x14ac:dyDescent="0.4">
      <c r="A710" s="73" t="s">
        <v>382</v>
      </c>
      <c r="B710" s="86">
        <v>7</v>
      </c>
      <c r="C710" s="86">
        <v>2</v>
      </c>
      <c r="D710" s="86">
        <v>3</v>
      </c>
      <c r="E710" s="86">
        <v>2</v>
      </c>
      <c r="F710" s="87"/>
      <c r="G710" s="75">
        <f>B710/7</f>
        <v>1</v>
      </c>
      <c r="H710" s="75">
        <f t="shared" si="39"/>
        <v>0.2857142857142857</v>
      </c>
      <c r="I710" s="75">
        <f t="shared" si="40"/>
        <v>0.42857142857142855</v>
      </c>
      <c r="J710" s="75">
        <f t="shared" si="41"/>
        <v>0.2857142857142857</v>
      </c>
      <c r="K710" s="75"/>
      <c r="L710" s="75"/>
    </row>
    <row r="711" spans="1:13" ht="13.15" x14ac:dyDescent="0.4">
      <c r="A711" s="73" t="s">
        <v>136</v>
      </c>
      <c r="B711" s="86">
        <v>31</v>
      </c>
      <c r="C711" s="86">
        <v>17</v>
      </c>
      <c r="D711" s="86">
        <v>13</v>
      </c>
      <c r="E711" s="86">
        <v>1</v>
      </c>
      <c r="F711" s="87"/>
      <c r="G711" s="75">
        <f>B711/31</f>
        <v>1</v>
      </c>
      <c r="H711" s="75">
        <f t="shared" si="39"/>
        <v>0.54838709677419351</v>
      </c>
      <c r="I711" s="75">
        <f t="shared" si="40"/>
        <v>0.41935483870967744</v>
      </c>
      <c r="J711" s="75">
        <f t="shared" si="41"/>
        <v>3.2258064516129031E-2</v>
      </c>
      <c r="K711" s="75"/>
      <c r="L711" s="75"/>
    </row>
    <row r="712" spans="1:13" ht="13.15" x14ac:dyDescent="0.4">
      <c r="A712" s="73" t="s">
        <v>24</v>
      </c>
      <c r="B712" s="87">
        <v>500</v>
      </c>
      <c r="C712" s="86">
        <v>327</v>
      </c>
      <c r="D712" s="86">
        <v>134</v>
      </c>
      <c r="E712" s="87">
        <v>39</v>
      </c>
      <c r="F712" s="72"/>
      <c r="G712" s="75">
        <f>B712/500</f>
        <v>1</v>
      </c>
      <c r="H712" s="75">
        <f t="shared" si="39"/>
        <v>0.65400000000000003</v>
      </c>
      <c r="I712" s="75">
        <f t="shared" si="40"/>
        <v>0.26800000000000002</v>
      </c>
      <c r="J712" s="75">
        <f t="shared" si="41"/>
        <v>7.8E-2</v>
      </c>
      <c r="K712" s="72"/>
      <c r="L712" s="75"/>
    </row>
    <row r="713" spans="1:13" ht="13.15" x14ac:dyDescent="0.4">
      <c r="A713" s="73"/>
      <c r="B713" s="87"/>
      <c r="C713" s="86"/>
      <c r="D713" s="86"/>
      <c r="E713" s="87"/>
      <c r="F713" s="72"/>
      <c r="G713" s="75"/>
      <c r="H713" s="75"/>
      <c r="I713" s="75"/>
      <c r="J713" s="75"/>
      <c r="K713" s="72"/>
      <c r="L713" s="75"/>
    </row>
    <row r="714" spans="1:13" ht="13.15" x14ac:dyDescent="0.4">
      <c r="A714" s="73"/>
      <c r="B714" s="87"/>
      <c r="C714" s="86"/>
      <c r="D714" s="86"/>
      <c r="E714" s="87"/>
      <c r="F714" s="86"/>
      <c r="G714" s="75"/>
      <c r="H714" s="75"/>
      <c r="I714" s="75"/>
      <c r="J714" s="75"/>
      <c r="K714" s="74"/>
      <c r="L714" s="72"/>
    </row>
    <row r="715" spans="1:13" ht="13.15" x14ac:dyDescent="0.4">
      <c r="A715" s="104" t="s">
        <v>243</v>
      </c>
      <c r="B715" s="72"/>
      <c r="C715" s="72"/>
      <c r="D715" s="72"/>
      <c r="E715" s="72"/>
      <c r="F715" s="74"/>
      <c r="G715" s="72"/>
      <c r="H715" s="72"/>
      <c r="I715" s="72"/>
      <c r="J715" s="72"/>
      <c r="K715" s="75"/>
      <c r="L715" s="74"/>
    </row>
    <row r="716" spans="1:13" ht="13.15" x14ac:dyDescent="0.4">
      <c r="A716" s="73" t="s">
        <v>177</v>
      </c>
      <c r="B716" s="72" t="s">
        <v>141</v>
      </c>
      <c r="C716" s="72"/>
      <c r="D716" s="72"/>
      <c r="E716" s="72"/>
      <c r="F716" s="86"/>
      <c r="G716" s="72" t="s">
        <v>148</v>
      </c>
      <c r="H716" s="72"/>
      <c r="I716" s="72"/>
      <c r="J716" s="72"/>
      <c r="K716" s="75"/>
      <c r="L716" s="75"/>
      <c r="M716"/>
    </row>
    <row r="717" spans="1:13" ht="13.15" x14ac:dyDescent="0.4">
      <c r="A717" s="73" t="s">
        <v>137</v>
      </c>
      <c r="B717" s="74" t="s">
        <v>113</v>
      </c>
      <c r="C717" s="74" t="s">
        <v>114</v>
      </c>
      <c r="D717" s="74" t="s">
        <v>115</v>
      </c>
      <c r="E717" s="74" t="s">
        <v>116</v>
      </c>
      <c r="F717" s="86"/>
      <c r="G717" s="74" t="s">
        <v>113</v>
      </c>
      <c r="H717" s="74" t="s">
        <v>114</v>
      </c>
      <c r="I717" s="74" t="s">
        <v>115</v>
      </c>
      <c r="J717" s="74" t="s">
        <v>116</v>
      </c>
      <c r="K717" s="75"/>
      <c r="L717" s="75"/>
      <c r="M717"/>
    </row>
    <row r="718" spans="1:13" ht="13.15" x14ac:dyDescent="0.4">
      <c r="A718" s="73" t="s">
        <v>128</v>
      </c>
      <c r="B718" s="86">
        <v>43</v>
      </c>
      <c r="C718" s="86">
        <v>31</v>
      </c>
      <c r="D718" s="86">
        <v>11</v>
      </c>
      <c r="E718" s="86">
        <v>1</v>
      </c>
      <c r="F718" s="86"/>
      <c r="G718" s="75">
        <f>B718/43</f>
        <v>1</v>
      </c>
      <c r="H718" s="75">
        <f>C718/B718</f>
        <v>0.72093023255813948</v>
      </c>
      <c r="I718" s="75">
        <f>D718/B718</f>
        <v>0.2558139534883721</v>
      </c>
      <c r="J718" s="75">
        <f>E718/B718</f>
        <v>2.3255813953488372E-2</v>
      </c>
      <c r="K718" s="75"/>
      <c r="L718" s="75"/>
      <c r="M718"/>
    </row>
    <row r="719" spans="1:13" ht="13.15" x14ac:dyDescent="0.4">
      <c r="A719" s="73" t="s">
        <v>129</v>
      </c>
      <c r="B719" s="86">
        <v>30</v>
      </c>
      <c r="C719" s="86">
        <v>15</v>
      </c>
      <c r="D719" s="86">
        <v>10</v>
      </c>
      <c r="E719" s="86">
        <v>5</v>
      </c>
      <c r="F719" s="86"/>
      <c r="G719" s="75">
        <f>B719/30</f>
        <v>1</v>
      </c>
      <c r="H719" s="75">
        <f t="shared" ref="H719:H728" si="42">C719/B719</f>
        <v>0.5</v>
      </c>
      <c r="I719" s="75">
        <f t="shared" ref="I719:I728" si="43">D719/B719</f>
        <v>0.33333333333333331</v>
      </c>
      <c r="J719" s="75">
        <f t="shared" ref="J719:J728" si="44">E719/B719</f>
        <v>0.16666666666666666</v>
      </c>
      <c r="K719" s="75"/>
      <c r="L719" s="75"/>
      <c r="M719"/>
    </row>
    <row r="720" spans="1:13" ht="13.15" x14ac:dyDescent="0.4">
      <c r="A720" s="73" t="s">
        <v>130</v>
      </c>
      <c r="B720" s="86">
        <v>61</v>
      </c>
      <c r="C720" s="86">
        <v>34</v>
      </c>
      <c r="D720" s="86">
        <v>20</v>
      </c>
      <c r="E720" s="86">
        <v>7</v>
      </c>
      <c r="F720" s="86"/>
      <c r="G720" s="75">
        <f>B720/60</f>
        <v>1.0166666666666666</v>
      </c>
      <c r="H720" s="75">
        <f t="shared" si="42"/>
        <v>0.55737704918032782</v>
      </c>
      <c r="I720" s="75">
        <f t="shared" si="43"/>
        <v>0.32786885245901637</v>
      </c>
      <c r="J720" s="75">
        <f t="shared" si="44"/>
        <v>0.11475409836065574</v>
      </c>
      <c r="K720" s="75"/>
      <c r="L720" s="75"/>
      <c r="M720"/>
    </row>
    <row r="721" spans="1:12" ht="13.15" x14ac:dyDescent="0.4">
      <c r="A721" s="73" t="s">
        <v>131</v>
      </c>
      <c r="B721" s="86">
        <v>81</v>
      </c>
      <c r="C721" s="86">
        <v>57</v>
      </c>
      <c r="D721" s="86">
        <v>15</v>
      </c>
      <c r="E721" s="86">
        <v>9</v>
      </c>
      <c r="F721" s="86"/>
      <c r="G721" s="75">
        <f>B721/82</f>
        <v>0.98780487804878048</v>
      </c>
      <c r="H721" s="75">
        <f t="shared" si="42"/>
        <v>0.70370370370370372</v>
      </c>
      <c r="I721" s="75">
        <f t="shared" si="43"/>
        <v>0.18518518518518517</v>
      </c>
      <c r="J721" s="75">
        <f t="shared" si="44"/>
        <v>0.1111111111111111</v>
      </c>
      <c r="K721" s="75"/>
      <c r="L721" s="75"/>
    </row>
    <row r="722" spans="1:12" ht="13.15" x14ac:dyDescent="0.4">
      <c r="A722" s="73" t="s">
        <v>132</v>
      </c>
      <c r="B722" s="86">
        <v>41</v>
      </c>
      <c r="C722" s="86">
        <v>25</v>
      </c>
      <c r="D722" s="86">
        <v>11</v>
      </c>
      <c r="E722" s="86">
        <v>5</v>
      </c>
      <c r="F722" s="86"/>
      <c r="G722" s="75">
        <f>B722/42</f>
        <v>0.97619047619047616</v>
      </c>
      <c r="H722" s="75">
        <f t="shared" si="42"/>
        <v>0.6097560975609756</v>
      </c>
      <c r="I722" s="75">
        <f t="shared" si="43"/>
        <v>0.26829268292682928</v>
      </c>
      <c r="J722" s="75">
        <f t="shared" si="44"/>
        <v>0.12195121951219512</v>
      </c>
      <c r="K722" s="75"/>
      <c r="L722" s="75"/>
    </row>
    <row r="723" spans="1:12" ht="13.15" x14ac:dyDescent="0.4">
      <c r="A723" s="73" t="s">
        <v>133</v>
      </c>
      <c r="B723" s="86">
        <v>53</v>
      </c>
      <c r="C723" s="86">
        <v>38</v>
      </c>
      <c r="D723" s="86">
        <v>12</v>
      </c>
      <c r="E723" s="86">
        <v>3</v>
      </c>
      <c r="F723" s="86"/>
      <c r="G723" s="75">
        <f>B723/53</f>
        <v>1</v>
      </c>
      <c r="H723" s="75">
        <f t="shared" si="42"/>
        <v>0.71698113207547165</v>
      </c>
      <c r="I723" s="75">
        <f t="shared" si="43"/>
        <v>0.22641509433962265</v>
      </c>
      <c r="J723" s="75">
        <f t="shared" si="44"/>
        <v>5.6603773584905662E-2</v>
      </c>
      <c r="K723" s="75"/>
      <c r="L723" s="75"/>
    </row>
    <row r="724" spans="1:12" ht="13.15" x14ac:dyDescent="0.4">
      <c r="A724" s="73" t="s">
        <v>134</v>
      </c>
      <c r="B724" s="86">
        <v>81</v>
      </c>
      <c r="C724" s="86">
        <v>60</v>
      </c>
      <c r="D724" s="86">
        <v>16</v>
      </c>
      <c r="E724" s="86">
        <v>5</v>
      </c>
      <c r="F724" s="87"/>
      <c r="G724" s="75">
        <f>B724/81</f>
        <v>1</v>
      </c>
      <c r="H724" s="75">
        <f t="shared" si="42"/>
        <v>0.7407407407407407</v>
      </c>
      <c r="I724" s="75">
        <f t="shared" si="43"/>
        <v>0.19753086419753085</v>
      </c>
      <c r="J724" s="75">
        <f t="shared" si="44"/>
        <v>6.1728395061728392E-2</v>
      </c>
      <c r="K724" s="75"/>
      <c r="L724" s="75"/>
    </row>
    <row r="725" spans="1:12" ht="13.15" x14ac:dyDescent="0.4">
      <c r="A725" s="73" t="s">
        <v>135</v>
      </c>
      <c r="B725" s="86">
        <v>70</v>
      </c>
      <c r="C725" s="86">
        <v>47</v>
      </c>
      <c r="D725" s="86">
        <v>19</v>
      </c>
      <c r="E725" s="86">
        <v>4</v>
      </c>
      <c r="F725" s="87"/>
      <c r="G725" s="75">
        <f>B725/70</f>
        <v>1</v>
      </c>
      <c r="H725" s="75">
        <f t="shared" si="42"/>
        <v>0.67142857142857137</v>
      </c>
      <c r="I725" s="75">
        <f t="shared" si="43"/>
        <v>0.27142857142857141</v>
      </c>
      <c r="J725" s="75">
        <f t="shared" si="44"/>
        <v>5.7142857142857141E-2</v>
      </c>
      <c r="K725" s="75"/>
      <c r="L725" s="75"/>
    </row>
    <row r="726" spans="1:12" ht="13.15" x14ac:dyDescent="0.4">
      <c r="A726" s="73" t="s">
        <v>382</v>
      </c>
      <c r="B726" s="86">
        <v>8</v>
      </c>
      <c r="C726" s="86">
        <v>5</v>
      </c>
      <c r="D726" s="86">
        <v>2</v>
      </c>
      <c r="E726" s="86">
        <v>1</v>
      </c>
      <c r="F726" s="87"/>
      <c r="G726" s="75">
        <f>B726/8</f>
        <v>1</v>
      </c>
      <c r="H726" s="75">
        <f t="shared" si="42"/>
        <v>0.625</v>
      </c>
      <c r="I726" s="75">
        <f t="shared" si="43"/>
        <v>0.25</v>
      </c>
      <c r="J726" s="75">
        <f t="shared" si="44"/>
        <v>0.125</v>
      </c>
      <c r="K726" s="75"/>
      <c r="L726" s="75"/>
    </row>
    <row r="727" spans="1:12" ht="13.15" x14ac:dyDescent="0.4">
      <c r="A727" s="73" t="s">
        <v>136</v>
      </c>
      <c r="B727" s="86">
        <v>31</v>
      </c>
      <c r="C727" s="86">
        <v>17</v>
      </c>
      <c r="D727" s="86">
        <v>13</v>
      </c>
      <c r="E727" s="86">
        <v>1</v>
      </c>
      <c r="F727" s="87"/>
      <c r="G727" s="75">
        <f>B727/31</f>
        <v>1</v>
      </c>
      <c r="H727" s="75">
        <f t="shared" si="42"/>
        <v>0.54838709677419351</v>
      </c>
      <c r="I727" s="75">
        <f t="shared" si="43"/>
        <v>0.41935483870967744</v>
      </c>
      <c r="J727" s="75">
        <f t="shared" si="44"/>
        <v>3.2258064516129031E-2</v>
      </c>
      <c r="K727" s="75"/>
      <c r="L727" s="75"/>
    </row>
    <row r="728" spans="1:12" ht="13.15" x14ac:dyDescent="0.4">
      <c r="A728" s="73" t="s">
        <v>24</v>
      </c>
      <c r="B728" s="87">
        <v>499</v>
      </c>
      <c r="C728" s="86">
        <v>329</v>
      </c>
      <c r="D728" s="86">
        <v>129</v>
      </c>
      <c r="E728" s="87">
        <v>41</v>
      </c>
      <c r="F728" s="72"/>
      <c r="G728" s="75">
        <f>B728/500</f>
        <v>0.998</v>
      </c>
      <c r="H728" s="75">
        <f t="shared" si="42"/>
        <v>0.65931863727454909</v>
      </c>
      <c r="I728" s="75">
        <f t="shared" si="43"/>
        <v>0.25851703406813625</v>
      </c>
      <c r="J728" s="75">
        <f t="shared" si="44"/>
        <v>8.2164328657314628E-2</v>
      </c>
      <c r="K728" s="72"/>
      <c r="L728" s="74"/>
    </row>
    <row r="729" spans="1:12" ht="13.15" x14ac:dyDescent="0.4">
      <c r="A729" s="73"/>
      <c r="B729" s="87"/>
      <c r="C729" s="86"/>
      <c r="D729" s="86"/>
      <c r="E729" s="87"/>
      <c r="F729" s="72"/>
      <c r="G729" s="75"/>
      <c r="H729" s="75"/>
      <c r="I729" s="75"/>
      <c r="J729" s="75"/>
      <c r="K729" s="72"/>
      <c r="L729" s="128"/>
    </row>
    <row r="730" spans="1:12" ht="13.15" x14ac:dyDescent="0.4">
      <c r="A730" s="73"/>
      <c r="B730" s="87"/>
      <c r="C730" s="86"/>
      <c r="D730" s="86"/>
      <c r="E730" s="87"/>
      <c r="F730" s="86"/>
      <c r="G730" s="75"/>
      <c r="H730" s="75"/>
      <c r="I730" s="75"/>
      <c r="J730" s="75"/>
      <c r="K730" s="74"/>
      <c r="L730" s="128"/>
    </row>
    <row r="731" spans="1:12" ht="13.15" x14ac:dyDescent="0.4">
      <c r="A731" s="104" t="s">
        <v>246</v>
      </c>
      <c r="B731" s="72"/>
      <c r="C731" s="72"/>
      <c r="D731" s="72"/>
      <c r="E731" s="72"/>
      <c r="F731" s="86"/>
      <c r="G731" s="72"/>
      <c r="H731" s="72"/>
      <c r="I731" s="72"/>
      <c r="J731" s="72"/>
      <c r="K731" s="75"/>
      <c r="L731" s="128"/>
    </row>
    <row r="732" spans="1:12" ht="13.15" x14ac:dyDescent="0.4">
      <c r="A732" s="73" t="s">
        <v>170</v>
      </c>
      <c r="B732" s="72" t="s">
        <v>141</v>
      </c>
      <c r="C732" s="72"/>
      <c r="D732" s="72"/>
      <c r="E732" s="72"/>
      <c r="F732" s="86"/>
      <c r="G732" s="72" t="s">
        <v>148</v>
      </c>
      <c r="H732" s="72"/>
      <c r="I732" s="72"/>
      <c r="J732" s="72"/>
      <c r="K732" s="75"/>
      <c r="L732" s="128"/>
    </row>
    <row r="733" spans="1:12" ht="13.15" x14ac:dyDescent="0.4">
      <c r="A733" s="73" t="s">
        <v>137</v>
      </c>
      <c r="B733" s="74" t="s">
        <v>113</v>
      </c>
      <c r="C733" s="74" t="s">
        <v>114</v>
      </c>
      <c r="D733" s="74" t="s">
        <v>115</v>
      </c>
      <c r="E733" s="74" t="s">
        <v>116</v>
      </c>
      <c r="F733" s="86"/>
      <c r="G733" s="74" t="s">
        <v>113</v>
      </c>
      <c r="H733" s="74" t="s">
        <v>114</v>
      </c>
      <c r="I733" s="74" t="s">
        <v>115</v>
      </c>
      <c r="J733" s="74" t="s">
        <v>116</v>
      </c>
      <c r="K733" s="75"/>
      <c r="L733" s="128"/>
    </row>
    <row r="734" spans="1:12" ht="13.15" x14ac:dyDescent="0.4">
      <c r="A734" s="73" t="s">
        <v>128</v>
      </c>
      <c r="B734" s="86">
        <v>43</v>
      </c>
      <c r="C734" s="86">
        <v>23</v>
      </c>
      <c r="D734" s="86">
        <v>16</v>
      </c>
      <c r="E734" s="86">
        <v>4</v>
      </c>
      <c r="F734" s="86"/>
      <c r="G734" s="75">
        <f>B734/43</f>
        <v>1</v>
      </c>
      <c r="H734" s="75">
        <f>C734/B734</f>
        <v>0.53488372093023251</v>
      </c>
      <c r="I734" s="75">
        <f>D734/B734</f>
        <v>0.37209302325581395</v>
      </c>
      <c r="J734" s="75">
        <f>E734/B734</f>
        <v>9.3023255813953487E-2</v>
      </c>
      <c r="K734" s="75"/>
      <c r="L734" s="128"/>
    </row>
    <row r="735" spans="1:12" ht="13.15" x14ac:dyDescent="0.4">
      <c r="A735" s="73" t="s">
        <v>129</v>
      </c>
      <c r="B735" s="86">
        <v>30</v>
      </c>
      <c r="C735" s="86">
        <v>15</v>
      </c>
      <c r="D735" s="86">
        <v>10</v>
      </c>
      <c r="E735" s="86">
        <v>5</v>
      </c>
      <c r="F735" s="86"/>
      <c r="G735" s="75">
        <f>B735/30</f>
        <v>1</v>
      </c>
      <c r="H735" s="75">
        <f t="shared" ref="H735:H744" si="45">C735/B735</f>
        <v>0.5</v>
      </c>
      <c r="I735" s="75">
        <f t="shared" ref="I735:I744" si="46">D735/B735</f>
        <v>0.33333333333333331</v>
      </c>
      <c r="J735" s="75">
        <f t="shared" ref="J735:J744" si="47">E735/B735</f>
        <v>0.16666666666666666</v>
      </c>
      <c r="K735" s="75"/>
      <c r="L735" s="128"/>
    </row>
    <row r="736" spans="1:12" ht="13.15" x14ac:dyDescent="0.4">
      <c r="A736" s="73" t="s">
        <v>130</v>
      </c>
      <c r="B736" s="86">
        <v>60</v>
      </c>
      <c r="C736" s="86">
        <v>36</v>
      </c>
      <c r="D736" s="86">
        <v>19</v>
      </c>
      <c r="E736" s="86">
        <v>5</v>
      </c>
      <c r="F736" s="86"/>
      <c r="G736" s="75">
        <f>B736/60</f>
        <v>1</v>
      </c>
      <c r="H736" s="75">
        <f t="shared" si="45"/>
        <v>0.6</v>
      </c>
      <c r="I736" s="75">
        <f t="shared" si="46"/>
        <v>0.31666666666666665</v>
      </c>
      <c r="J736" s="75">
        <f t="shared" si="47"/>
        <v>8.3333333333333329E-2</v>
      </c>
      <c r="K736" s="75"/>
      <c r="L736" s="128"/>
    </row>
    <row r="737" spans="1:12" ht="13.15" x14ac:dyDescent="0.4">
      <c r="A737" s="73" t="s">
        <v>131</v>
      </c>
      <c r="B737" s="86">
        <v>83</v>
      </c>
      <c r="C737" s="86">
        <v>59</v>
      </c>
      <c r="D737" s="86">
        <v>18</v>
      </c>
      <c r="E737" s="86">
        <v>6</v>
      </c>
      <c r="F737" s="86"/>
      <c r="G737" s="75">
        <f>B737/83</f>
        <v>1</v>
      </c>
      <c r="H737" s="75">
        <f t="shared" si="45"/>
        <v>0.71084337349397586</v>
      </c>
      <c r="I737" s="75">
        <f t="shared" si="46"/>
        <v>0.21686746987951808</v>
      </c>
      <c r="J737" s="75">
        <f t="shared" si="47"/>
        <v>7.2289156626506021E-2</v>
      </c>
      <c r="K737" s="75"/>
      <c r="L737" s="128"/>
    </row>
    <row r="738" spans="1:12" ht="13.15" x14ac:dyDescent="0.4">
      <c r="A738" s="73" t="s">
        <v>132</v>
      </c>
      <c r="B738" s="86">
        <v>42</v>
      </c>
      <c r="C738" s="86">
        <v>30</v>
      </c>
      <c r="D738" s="86">
        <v>11</v>
      </c>
      <c r="E738" s="86">
        <v>1</v>
      </c>
      <c r="F738" s="86"/>
      <c r="G738" s="75">
        <f>B738/42</f>
        <v>1</v>
      </c>
      <c r="H738" s="75">
        <f t="shared" si="45"/>
        <v>0.7142857142857143</v>
      </c>
      <c r="I738" s="75">
        <f t="shared" si="46"/>
        <v>0.26190476190476192</v>
      </c>
      <c r="J738" s="75">
        <f t="shared" si="47"/>
        <v>2.3809523809523808E-2</v>
      </c>
      <c r="K738" s="75"/>
      <c r="L738" s="128"/>
    </row>
    <row r="739" spans="1:12" ht="13.15" x14ac:dyDescent="0.4">
      <c r="A739" s="73" t="s">
        <v>133</v>
      </c>
      <c r="B739" s="86">
        <v>52</v>
      </c>
      <c r="C739" s="86">
        <v>32</v>
      </c>
      <c r="D739" s="86">
        <v>11</v>
      </c>
      <c r="E739" s="86">
        <v>9</v>
      </c>
      <c r="F739" s="86"/>
      <c r="G739" s="75">
        <f>B739/52</f>
        <v>1</v>
      </c>
      <c r="H739" s="75">
        <f t="shared" si="45"/>
        <v>0.61538461538461542</v>
      </c>
      <c r="I739" s="75">
        <f t="shared" si="46"/>
        <v>0.21153846153846154</v>
      </c>
      <c r="J739" s="75">
        <f t="shared" si="47"/>
        <v>0.17307692307692307</v>
      </c>
      <c r="K739" s="75"/>
      <c r="L739" s="128"/>
    </row>
    <row r="740" spans="1:12" ht="13.15" x14ac:dyDescent="0.4">
      <c r="A740" s="73" t="s">
        <v>134</v>
      </c>
      <c r="B740" s="86">
        <v>81</v>
      </c>
      <c r="C740" s="86">
        <v>53</v>
      </c>
      <c r="D740" s="86">
        <v>20</v>
      </c>
      <c r="E740" s="86">
        <v>8</v>
      </c>
      <c r="F740" s="87"/>
      <c r="G740" s="75">
        <f>B740/81</f>
        <v>1</v>
      </c>
      <c r="H740" s="75">
        <f t="shared" si="45"/>
        <v>0.65432098765432101</v>
      </c>
      <c r="I740" s="75">
        <f t="shared" si="46"/>
        <v>0.24691358024691357</v>
      </c>
      <c r="J740" s="75">
        <f t="shared" si="47"/>
        <v>9.8765432098765427E-2</v>
      </c>
      <c r="K740" s="75"/>
      <c r="L740" s="128"/>
    </row>
    <row r="741" spans="1:12" ht="13.15" x14ac:dyDescent="0.4">
      <c r="A741" s="73" t="s">
        <v>135</v>
      </c>
      <c r="B741" s="86">
        <v>70</v>
      </c>
      <c r="C741" s="86">
        <v>56</v>
      </c>
      <c r="D741" s="86">
        <v>8</v>
      </c>
      <c r="E741" s="86">
        <v>6</v>
      </c>
      <c r="F741" s="87"/>
      <c r="G741" s="75">
        <f>B741/70</f>
        <v>1</v>
      </c>
      <c r="H741" s="75">
        <f t="shared" si="45"/>
        <v>0.8</v>
      </c>
      <c r="I741" s="75">
        <f t="shared" si="46"/>
        <v>0.11428571428571428</v>
      </c>
      <c r="J741" s="75">
        <f t="shared" si="47"/>
        <v>8.5714285714285715E-2</v>
      </c>
      <c r="K741" s="75"/>
      <c r="L741" s="128"/>
    </row>
    <row r="742" spans="1:12" ht="13.15" x14ac:dyDescent="0.4">
      <c r="A742" s="73" t="s">
        <v>382</v>
      </c>
      <c r="B742" s="86">
        <v>8</v>
      </c>
      <c r="C742" s="86">
        <v>2</v>
      </c>
      <c r="D742" s="86">
        <v>3</v>
      </c>
      <c r="E742" s="86">
        <v>3</v>
      </c>
      <c r="F742" s="87"/>
      <c r="G742" s="75">
        <f>B742/8</f>
        <v>1</v>
      </c>
      <c r="H742" s="75">
        <f t="shared" si="45"/>
        <v>0.25</v>
      </c>
      <c r="I742" s="75">
        <f t="shared" si="46"/>
        <v>0.375</v>
      </c>
      <c r="J742" s="75">
        <f t="shared" si="47"/>
        <v>0.375</v>
      </c>
      <c r="K742" s="75"/>
    </row>
    <row r="743" spans="1:12" ht="13.15" x14ac:dyDescent="0.4">
      <c r="A743" s="73" t="s">
        <v>136</v>
      </c>
      <c r="B743" s="86">
        <v>31</v>
      </c>
      <c r="C743" s="86">
        <v>18</v>
      </c>
      <c r="D743" s="86">
        <v>8</v>
      </c>
      <c r="E743" s="86">
        <v>5</v>
      </c>
      <c r="F743" s="87"/>
      <c r="G743" s="75">
        <f>B743/31</f>
        <v>1</v>
      </c>
      <c r="H743" s="75">
        <f t="shared" si="45"/>
        <v>0.58064516129032262</v>
      </c>
      <c r="I743" s="75">
        <f t="shared" si="46"/>
        <v>0.25806451612903225</v>
      </c>
      <c r="J743" s="75">
        <f t="shared" si="47"/>
        <v>0.16129032258064516</v>
      </c>
      <c r="K743" s="75"/>
    </row>
    <row r="744" spans="1:12" ht="13.15" x14ac:dyDescent="0.4">
      <c r="A744" s="73" t="s">
        <v>24</v>
      </c>
      <c r="B744" s="87">
        <v>500</v>
      </c>
      <c r="C744" s="86">
        <v>324</v>
      </c>
      <c r="D744" s="86">
        <v>124</v>
      </c>
      <c r="E744" s="87">
        <v>52</v>
      </c>
      <c r="F744" s="72"/>
      <c r="G744" s="75">
        <f>B744/500</f>
        <v>1</v>
      </c>
      <c r="H744" s="75">
        <f t="shared" si="45"/>
        <v>0.64800000000000002</v>
      </c>
      <c r="I744" s="75">
        <f t="shared" si="46"/>
        <v>0.248</v>
      </c>
      <c r="J744" s="75">
        <f t="shared" si="47"/>
        <v>0.104</v>
      </c>
      <c r="K744" s="75"/>
    </row>
    <row r="745" spans="1:12" ht="13.15" x14ac:dyDescent="0.4">
      <c r="A745" s="73"/>
      <c r="B745" s="87"/>
      <c r="C745" s="86"/>
      <c r="D745" s="86"/>
      <c r="E745" s="87"/>
      <c r="F745" s="72"/>
      <c r="G745" s="75"/>
      <c r="H745" s="75"/>
      <c r="I745" s="75"/>
      <c r="J745" s="75"/>
      <c r="K745" s="72"/>
    </row>
    <row r="746" spans="1:12" ht="13.15" x14ac:dyDescent="0.4">
      <c r="A746" s="73"/>
      <c r="B746" s="87"/>
      <c r="C746" s="86"/>
      <c r="D746" s="86"/>
      <c r="E746" s="87"/>
      <c r="F746" s="86"/>
      <c r="G746" s="75"/>
      <c r="H746" s="75"/>
      <c r="I746" s="75"/>
      <c r="J746" s="75"/>
      <c r="K746" s="74"/>
    </row>
    <row r="747" spans="1:12" ht="13.15" x14ac:dyDescent="0.4">
      <c r="A747" s="104" t="s">
        <v>245</v>
      </c>
      <c r="B747" s="72"/>
      <c r="C747" s="72"/>
      <c r="D747" s="72"/>
      <c r="E747" s="72"/>
      <c r="F747" s="86"/>
      <c r="G747" s="72"/>
      <c r="H747" s="72"/>
      <c r="I747" s="72"/>
      <c r="J747" s="72"/>
      <c r="K747" s="75"/>
    </row>
    <row r="748" spans="1:12" ht="13.15" x14ac:dyDescent="0.4">
      <c r="A748" s="73" t="s">
        <v>158</v>
      </c>
      <c r="B748" s="72" t="s">
        <v>141</v>
      </c>
      <c r="C748" s="72"/>
      <c r="D748" s="72"/>
      <c r="E748" s="72"/>
      <c r="F748" s="86"/>
      <c r="G748" s="72" t="s">
        <v>148</v>
      </c>
      <c r="H748" s="72"/>
      <c r="I748" s="72"/>
      <c r="J748" s="72"/>
      <c r="K748" s="75"/>
    </row>
    <row r="749" spans="1:12" ht="13.15" x14ac:dyDescent="0.4">
      <c r="A749" s="73" t="s">
        <v>137</v>
      </c>
      <c r="B749" s="74" t="s">
        <v>113</v>
      </c>
      <c r="C749" s="74" t="s">
        <v>114</v>
      </c>
      <c r="D749" s="74" t="s">
        <v>115</v>
      </c>
      <c r="E749" s="74" t="s">
        <v>116</v>
      </c>
      <c r="F749" s="86"/>
      <c r="G749" s="74" t="s">
        <v>113</v>
      </c>
      <c r="H749" s="74" t="s">
        <v>114</v>
      </c>
      <c r="I749" s="74" t="s">
        <v>115</v>
      </c>
      <c r="J749" s="74" t="s">
        <v>116</v>
      </c>
      <c r="K749" s="75"/>
    </row>
    <row r="750" spans="1:12" ht="13.15" x14ac:dyDescent="0.4">
      <c r="A750" s="73" t="s">
        <v>128</v>
      </c>
      <c r="B750" s="86">
        <v>44</v>
      </c>
      <c r="C750" s="86">
        <v>26</v>
      </c>
      <c r="D750" s="86">
        <v>16</v>
      </c>
      <c r="E750" s="86">
        <v>2</v>
      </c>
      <c r="F750" s="86"/>
      <c r="G750" s="75">
        <f>B750/44</f>
        <v>1</v>
      </c>
      <c r="H750" s="75">
        <f>C750/B750</f>
        <v>0.59090909090909094</v>
      </c>
      <c r="I750" s="75">
        <f>D750/B750</f>
        <v>0.36363636363636365</v>
      </c>
      <c r="J750" s="75">
        <f>E750/B750</f>
        <v>4.5454545454545456E-2</v>
      </c>
      <c r="K750" s="75"/>
    </row>
    <row r="751" spans="1:12" ht="13.15" x14ac:dyDescent="0.4">
      <c r="A751" s="73" t="s">
        <v>129</v>
      </c>
      <c r="B751" s="86">
        <v>31</v>
      </c>
      <c r="C751" s="86">
        <v>12</v>
      </c>
      <c r="D751" s="86">
        <v>13</v>
      </c>
      <c r="E751" s="86">
        <v>6</v>
      </c>
      <c r="F751" s="86"/>
      <c r="G751" s="75">
        <f>B751/30</f>
        <v>1.0333333333333334</v>
      </c>
      <c r="H751" s="75">
        <f t="shared" ref="H751:H760" si="48">C751/B751</f>
        <v>0.38709677419354838</v>
      </c>
      <c r="I751" s="75">
        <f t="shared" ref="I751:I760" si="49">D751/B751</f>
        <v>0.41935483870967744</v>
      </c>
      <c r="J751" s="75">
        <f t="shared" ref="J751:J760" si="50">E751/B751</f>
        <v>0.19354838709677419</v>
      </c>
      <c r="K751" s="75"/>
    </row>
    <row r="752" spans="1:12" ht="13.15" x14ac:dyDescent="0.4">
      <c r="A752" s="73" t="s">
        <v>130</v>
      </c>
      <c r="B752" s="86">
        <v>59</v>
      </c>
      <c r="C752" s="86">
        <v>35</v>
      </c>
      <c r="D752" s="86">
        <v>17</v>
      </c>
      <c r="E752" s="86">
        <v>7</v>
      </c>
      <c r="F752" s="86"/>
      <c r="G752" s="75">
        <f>B752/61</f>
        <v>0.96721311475409832</v>
      </c>
      <c r="H752" s="75">
        <f t="shared" si="48"/>
        <v>0.59322033898305082</v>
      </c>
      <c r="I752" s="75">
        <f t="shared" si="49"/>
        <v>0.28813559322033899</v>
      </c>
      <c r="J752" s="75">
        <f t="shared" si="50"/>
        <v>0.11864406779661017</v>
      </c>
      <c r="K752" s="75"/>
    </row>
    <row r="753" spans="1:11" ht="13.15" x14ac:dyDescent="0.4">
      <c r="A753" s="73" t="s">
        <v>131</v>
      </c>
      <c r="B753" s="86">
        <v>78</v>
      </c>
      <c r="C753" s="86">
        <v>53</v>
      </c>
      <c r="D753" s="86">
        <v>16</v>
      </c>
      <c r="E753" s="86">
        <v>9</v>
      </c>
      <c r="F753" s="86"/>
      <c r="G753" s="75">
        <f>B753/81</f>
        <v>0.96296296296296291</v>
      </c>
      <c r="H753" s="75">
        <f t="shared" si="48"/>
        <v>0.67948717948717952</v>
      </c>
      <c r="I753" s="75">
        <f t="shared" si="49"/>
        <v>0.20512820512820512</v>
      </c>
      <c r="J753" s="75">
        <f t="shared" si="50"/>
        <v>0.11538461538461539</v>
      </c>
      <c r="K753" s="75"/>
    </row>
    <row r="754" spans="1:11" ht="13.15" x14ac:dyDescent="0.4">
      <c r="A754" s="73" t="s">
        <v>132</v>
      </c>
      <c r="B754" s="86">
        <v>40</v>
      </c>
      <c r="C754" s="86">
        <v>27</v>
      </c>
      <c r="D754" s="86">
        <v>6</v>
      </c>
      <c r="E754" s="86">
        <v>7</v>
      </c>
      <c r="F754" s="86"/>
      <c r="G754" s="75">
        <f>B754/41</f>
        <v>0.97560975609756095</v>
      </c>
      <c r="H754" s="75">
        <f t="shared" si="48"/>
        <v>0.67500000000000004</v>
      </c>
      <c r="I754" s="75">
        <f t="shared" si="49"/>
        <v>0.15</v>
      </c>
      <c r="J754" s="75">
        <f t="shared" si="50"/>
        <v>0.17499999999999999</v>
      </c>
      <c r="K754" s="75"/>
    </row>
    <row r="755" spans="1:11" ht="13.15" x14ac:dyDescent="0.4">
      <c r="A755" s="73" t="s">
        <v>133</v>
      </c>
      <c r="B755" s="86">
        <v>51</v>
      </c>
      <c r="C755" s="86">
        <v>39</v>
      </c>
      <c r="D755" s="86">
        <v>6</v>
      </c>
      <c r="E755" s="86">
        <v>6</v>
      </c>
      <c r="F755" s="86"/>
      <c r="G755" s="75">
        <f>B755/52</f>
        <v>0.98076923076923073</v>
      </c>
      <c r="H755" s="75">
        <f t="shared" si="48"/>
        <v>0.76470588235294112</v>
      </c>
      <c r="I755" s="75">
        <f t="shared" si="49"/>
        <v>0.11764705882352941</v>
      </c>
      <c r="J755" s="75">
        <f t="shared" si="50"/>
        <v>0.11764705882352941</v>
      </c>
      <c r="K755" s="75"/>
    </row>
    <row r="756" spans="1:11" ht="13.15" x14ac:dyDescent="0.4">
      <c r="A756" s="73" t="s">
        <v>134</v>
      </c>
      <c r="B756" s="86">
        <v>81</v>
      </c>
      <c r="C756" s="86">
        <v>53</v>
      </c>
      <c r="D756" s="86">
        <v>18</v>
      </c>
      <c r="E756" s="86">
        <v>10</v>
      </c>
      <c r="F756" s="87"/>
      <c r="G756" s="75">
        <f>B756/81</f>
        <v>1</v>
      </c>
      <c r="H756" s="75">
        <f t="shared" si="48"/>
        <v>0.65432098765432101</v>
      </c>
      <c r="I756" s="75">
        <f t="shared" si="49"/>
        <v>0.22222222222222221</v>
      </c>
      <c r="J756" s="75">
        <f t="shared" si="50"/>
        <v>0.12345679012345678</v>
      </c>
      <c r="K756" s="75"/>
    </row>
    <row r="757" spans="1:11" ht="13.15" x14ac:dyDescent="0.4">
      <c r="A757" s="73" t="s">
        <v>135</v>
      </c>
      <c r="B757" s="86">
        <v>70</v>
      </c>
      <c r="C757" s="86">
        <v>45</v>
      </c>
      <c r="D757" s="86">
        <v>12</v>
      </c>
      <c r="E757" s="86">
        <v>13</v>
      </c>
      <c r="F757" s="87"/>
      <c r="G757" s="75">
        <f>B757/70</f>
        <v>1</v>
      </c>
      <c r="H757" s="75">
        <f t="shared" si="48"/>
        <v>0.6428571428571429</v>
      </c>
      <c r="I757" s="75">
        <f t="shared" si="49"/>
        <v>0.17142857142857143</v>
      </c>
      <c r="J757" s="75">
        <f t="shared" si="50"/>
        <v>0.18571428571428572</v>
      </c>
      <c r="K757" s="75"/>
    </row>
    <row r="758" spans="1:11" ht="13.15" x14ac:dyDescent="0.4">
      <c r="A758" s="73" t="s">
        <v>382</v>
      </c>
      <c r="B758" s="86">
        <v>8</v>
      </c>
      <c r="C758" s="86">
        <v>4</v>
      </c>
      <c r="D758" s="86">
        <v>2</v>
      </c>
      <c r="E758" s="86">
        <v>2</v>
      </c>
      <c r="F758" s="87"/>
      <c r="G758" s="75">
        <f>B758/8</f>
        <v>1</v>
      </c>
      <c r="H758" s="75">
        <f t="shared" si="48"/>
        <v>0.5</v>
      </c>
      <c r="I758" s="75">
        <f t="shared" si="49"/>
        <v>0.25</v>
      </c>
      <c r="J758" s="75">
        <f t="shared" si="50"/>
        <v>0.25</v>
      </c>
      <c r="K758" s="75"/>
    </row>
    <row r="759" spans="1:11" ht="13.15" x14ac:dyDescent="0.4">
      <c r="A759" s="73" t="s">
        <v>136</v>
      </c>
      <c r="B759" s="86">
        <v>31</v>
      </c>
      <c r="C759" s="86">
        <v>18</v>
      </c>
      <c r="D759" s="86">
        <v>11</v>
      </c>
      <c r="E759" s="86">
        <v>2</v>
      </c>
      <c r="F759" s="87"/>
      <c r="G759" s="75">
        <f>B759/32</f>
        <v>0.96875</v>
      </c>
      <c r="H759" s="75">
        <f t="shared" si="48"/>
        <v>0.58064516129032262</v>
      </c>
      <c r="I759" s="75">
        <f t="shared" si="49"/>
        <v>0.35483870967741937</v>
      </c>
      <c r="J759" s="75">
        <f t="shared" si="50"/>
        <v>6.4516129032258063E-2</v>
      </c>
    </row>
    <row r="760" spans="1:11" ht="13.15" x14ac:dyDescent="0.4">
      <c r="A760" s="73" t="s">
        <v>24</v>
      </c>
      <c r="B760" s="87">
        <v>493</v>
      </c>
      <c r="C760" s="86">
        <v>312</v>
      </c>
      <c r="D760" s="86">
        <v>117</v>
      </c>
      <c r="E760" s="87">
        <v>64</v>
      </c>
      <c r="F760" s="72"/>
      <c r="G760" s="75">
        <f>B760/500</f>
        <v>0.98599999999999999</v>
      </c>
      <c r="H760" s="75">
        <f t="shared" si="48"/>
        <v>0.63286004056795131</v>
      </c>
      <c r="I760" s="75">
        <f t="shared" si="49"/>
        <v>0.23732251521298176</v>
      </c>
      <c r="J760" s="75">
        <f t="shared" si="50"/>
        <v>0.12981744421906694</v>
      </c>
    </row>
    <row r="761" spans="1:11" ht="13.15" x14ac:dyDescent="0.4">
      <c r="A761" s="73"/>
      <c r="B761" s="87"/>
      <c r="C761" s="86"/>
      <c r="D761" s="86"/>
      <c r="E761" s="87"/>
      <c r="F761" s="74"/>
      <c r="G761" s="75"/>
      <c r="H761" s="75"/>
      <c r="I761" s="75"/>
      <c r="J761" s="75"/>
    </row>
    <row r="762" spans="1:11" ht="13.15" x14ac:dyDescent="0.4">
      <c r="A762" s="73"/>
      <c r="B762" s="87"/>
      <c r="C762" s="86"/>
      <c r="D762" s="86"/>
      <c r="E762" s="87"/>
      <c r="F762" s="86"/>
      <c r="G762" s="75"/>
      <c r="H762" s="75"/>
      <c r="I762" s="75"/>
      <c r="J762" s="75"/>
    </row>
    <row r="763" spans="1:11" ht="13.15" x14ac:dyDescent="0.4">
      <c r="A763" s="73" t="s">
        <v>244</v>
      </c>
      <c r="B763" s="87"/>
      <c r="C763" s="86"/>
      <c r="D763" s="86"/>
      <c r="E763" s="87"/>
      <c r="F763" s="86"/>
      <c r="G763" s="75"/>
      <c r="H763" s="75"/>
      <c r="I763" s="75"/>
      <c r="J763" s="75"/>
    </row>
    <row r="764" spans="1:11" ht="13.15" x14ac:dyDescent="0.4">
      <c r="A764" s="73" t="s">
        <v>155</v>
      </c>
      <c r="B764" s="72" t="s">
        <v>141</v>
      </c>
      <c r="C764" s="72"/>
      <c r="D764" s="72"/>
      <c r="E764" s="72"/>
      <c r="F764" s="86"/>
      <c r="G764" s="72" t="s">
        <v>148</v>
      </c>
      <c r="H764" s="72"/>
      <c r="I764" s="72"/>
      <c r="J764" s="72"/>
    </row>
    <row r="765" spans="1:11" ht="13.15" x14ac:dyDescent="0.4">
      <c r="A765" s="73" t="s">
        <v>137</v>
      </c>
      <c r="B765" s="74" t="s">
        <v>113</v>
      </c>
      <c r="C765" s="74" t="s">
        <v>114</v>
      </c>
      <c r="D765" s="74" t="s">
        <v>115</v>
      </c>
      <c r="E765" s="74" t="s">
        <v>116</v>
      </c>
      <c r="F765" s="86"/>
      <c r="G765" s="74" t="s">
        <v>113</v>
      </c>
      <c r="H765" s="74" t="s">
        <v>114</v>
      </c>
      <c r="I765" s="74" t="s">
        <v>115</v>
      </c>
      <c r="J765" s="74" t="s">
        <v>116</v>
      </c>
    </row>
    <row r="766" spans="1:11" ht="13.15" x14ac:dyDescent="0.4">
      <c r="A766" s="73" t="s">
        <v>128</v>
      </c>
      <c r="B766" s="86">
        <v>44</v>
      </c>
      <c r="C766" s="86">
        <v>21</v>
      </c>
      <c r="D766" s="86">
        <v>18</v>
      </c>
      <c r="E766" s="86">
        <v>5</v>
      </c>
      <c r="F766" s="86"/>
      <c r="G766" s="75">
        <f>B766/44</f>
        <v>1</v>
      </c>
      <c r="H766" s="75">
        <f>C766/B766</f>
        <v>0.47727272727272729</v>
      </c>
      <c r="I766" s="75">
        <f>D766/B766</f>
        <v>0.40909090909090912</v>
      </c>
      <c r="J766" s="75">
        <f>E766/B766</f>
        <v>0.11363636363636363</v>
      </c>
    </row>
    <row r="767" spans="1:11" ht="13.15" x14ac:dyDescent="0.4">
      <c r="A767" s="73" t="s">
        <v>129</v>
      </c>
      <c r="B767" s="86">
        <v>30</v>
      </c>
      <c r="C767" s="86">
        <v>16</v>
      </c>
      <c r="D767" s="86">
        <v>6</v>
      </c>
      <c r="E767" s="86">
        <v>8</v>
      </c>
      <c r="F767" s="86"/>
      <c r="G767" s="75">
        <f>B767/30</f>
        <v>1</v>
      </c>
      <c r="H767" s="75">
        <f t="shared" ref="H767:H776" si="51">C767/B767</f>
        <v>0.53333333333333333</v>
      </c>
      <c r="I767" s="75">
        <f t="shared" ref="I767:I776" si="52">D767/B767</f>
        <v>0.2</v>
      </c>
      <c r="J767" s="75">
        <f t="shared" ref="J767:J776" si="53">E767/B767</f>
        <v>0.26666666666666666</v>
      </c>
    </row>
    <row r="768" spans="1:11" ht="13.15" x14ac:dyDescent="0.4">
      <c r="A768" s="73" t="s">
        <v>130</v>
      </c>
      <c r="B768" s="86">
        <v>60</v>
      </c>
      <c r="C768" s="86">
        <v>46</v>
      </c>
      <c r="D768" s="86">
        <v>10</v>
      </c>
      <c r="E768" s="86">
        <v>4</v>
      </c>
      <c r="F768" s="86"/>
      <c r="G768" s="75">
        <f>B768/61</f>
        <v>0.98360655737704916</v>
      </c>
      <c r="H768" s="75">
        <f t="shared" si="51"/>
        <v>0.76666666666666672</v>
      </c>
      <c r="I768" s="75">
        <f t="shared" si="52"/>
        <v>0.16666666666666666</v>
      </c>
      <c r="J768" s="75">
        <f t="shared" si="53"/>
        <v>6.6666666666666666E-2</v>
      </c>
    </row>
    <row r="769" spans="1:10" ht="13.15" x14ac:dyDescent="0.4">
      <c r="A769" s="73" t="s">
        <v>131</v>
      </c>
      <c r="B769" s="86">
        <v>81</v>
      </c>
      <c r="C769" s="86">
        <v>51</v>
      </c>
      <c r="D769" s="86">
        <v>22</v>
      </c>
      <c r="E769" s="86">
        <v>8</v>
      </c>
      <c r="F769" s="86"/>
      <c r="G769" s="75">
        <f>B769/81</f>
        <v>1</v>
      </c>
      <c r="H769" s="75">
        <f t="shared" si="51"/>
        <v>0.62962962962962965</v>
      </c>
      <c r="I769" s="75">
        <f t="shared" si="52"/>
        <v>0.27160493827160492</v>
      </c>
      <c r="J769" s="75">
        <f t="shared" si="53"/>
        <v>9.8765432098765427E-2</v>
      </c>
    </row>
    <row r="770" spans="1:10" ht="13.15" x14ac:dyDescent="0.4">
      <c r="A770" s="73" t="s">
        <v>132</v>
      </c>
      <c r="B770" s="86">
        <v>41</v>
      </c>
      <c r="C770" s="86">
        <v>30</v>
      </c>
      <c r="D770" s="86">
        <v>7</v>
      </c>
      <c r="E770" s="86">
        <v>4</v>
      </c>
      <c r="F770" s="86"/>
      <c r="G770" s="75">
        <f>B770/41</f>
        <v>1</v>
      </c>
      <c r="H770" s="75">
        <f t="shared" si="51"/>
        <v>0.73170731707317072</v>
      </c>
      <c r="I770" s="75">
        <f t="shared" si="52"/>
        <v>0.17073170731707318</v>
      </c>
      <c r="J770" s="75">
        <f t="shared" si="53"/>
        <v>9.7560975609756101E-2</v>
      </c>
    </row>
    <row r="771" spans="1:10" ht="13.15" x14ac:dyDescent="0.4">
      <c r="A771" s="73" t="s">
        <v>133</v>
      </c>
      <c r="B771" s="86">
        <v>52</v>
      </c>
      <c r="C771" s="86">
        <v>38</v>
      </c>
      <c r="D771" s="86">
        <v>8</v>
      </c>
      <c r="E771" s="86">
        <v>6</v>
      </c>
      <c r="F771" s="86"/>
      <c r="G771" s="75">
        <f>B771/52</f>
        <v>1</v>
      </c>
      <c r="H771" s="75">
        <f t="shared" si="51"/>
        <v>0.73076923076923073</v>
      </c>
      <c r="I771" s="75">
        <f t="shared" si="52"/>
        <v>0.15384615384615385</v>
      </c>
      <c r="J771" s="75">
        <f t="shared" si="53"/>
        <v>0.11538461538461539</v>
      </c>
    </row>
    <row r="772" spans="1:10" ht="13.15" x14ac:dyDescent="0.4">
      <c r="A772" s="73" t="s">
        <v>134</v>
      </c>
      <c r="B772" s="86">
        <v>81</v>
      </c>
      <c r="C772" s="86">
        <v>48</v>
      </c>
      <c r="D772" s="86">
        <v>28</v>
      </c>
      <c r="E772" s="86">
        <v>5</v>
      </c>
      <c r="F772" s="87"/>
      <c r="G772" s="75">
        <f>B772/81</f>
        <v>1</v>
      </c>
      <c r="H772" s="75">
        <f t="shared" si="51"/>
        <v>0.59259259259259256</v>
      </c>
      <c r="I772" s="75">
        <f t="shared" si="52"/>
        <v>0.34567901234567899</v>
      </c>
      <c r="J772" s="75">
        <f t="shared" si="53"/>
        <v>6.1728395061728392E-2</v>
      </c>
    </row>
    <row r="773" spans="1:10" ht="13.15" x14ac:dyDescent="0.4">
      <c r="A773" s="73" t="s">
        <v>135</v>
      </c>
      <c r="B773" s="86">
        <v>70</v>
      </c>
      <c r="C773" s="86">
        <v>48</v>
      </c>
      <c r="D773" s="86">
        <v>11</v>
      </c>
      <c r="E773" s="86">
        <v>11</v>
      </c>
      <c r="F773" s="87"/>
      <c r="G773" s="75">
        <f>B773/70</f>
        <v>1</v>
      </c>
      <c r="H773" s="75">
        <f t="shared" si="51"/>
        <v>0.68571428571428572</v>
      </c>
      <c r="I773" s="75">
        <f t="shared" si="52"/>
        <v>0.15714285714285714</v>
      </c>
      <c r="J773" s="75">
        <f t="shared" si="53"/>
        <v>0.15714285714285714</v>
      </c>
    </row>
    <row r="774" spans="1:10" ht="13.15" x14ac:dyDescent="0.4">
      <c r="A774" s="73" t="s">
        <v>382</v>
      </c>
      <c r="B774" s="86">
        <v>8</v>
      </c>
      <c r="C774" s="86">
        <v>5</v>
      </c>
      <c r="D774" s="86">
        <v>1</v>
      </c>
      <c r="E774" s="86">
        <v>2</v>
      </c>
      <c r="F774" s="74"/>
      <c r="G774" s="75">
        <f>B774/8</f>
        <v>1</v>
      </c>
      <c r="H774" s="75">
        <f t="shared" si="51"/>
        <v>0.625</v>
      </c>
      <c r="I774" s="75">
        <f t="shared" si="52"/>
        <v>0.125</v>
      </c>
      <c r="J774" s="75">
        <f t="shared" si="53"/>
        <v>0.25</v>
      </c>
    </row>
    <row r="775" spans="1:10" ht="13.15" x14ac:dyDescent="0.4">
      <c r="A775" s="73" t="s">
        <v>136</v>
      </c>
      <c r="B775" s="86">
        <v>32</v>
      </c>
      <c r="C775" s="86">
        <v>19</v>
      </c>
      <c r="D775" s="86">
        <v>12</v>
      </c>
      <c r="E775" s="86">
        <v>1</v>
      </c>
      <c r="F775" s="86"/>
      <c r="G775" s="75">
        <f>B775/32</f>
        <v>1</v>
      </c>
      <c r="H775" s="75">
        <f t="shared" si="51"/>
        <v>0.59375</v>
      </c>
      <c r="I775" s="75">
        <f t="shared" si="52"/>
        <v>0.375</v>
      </c>
      <c r="J775" s="75">
        <f t="shared" si="53"/>
        <v>3.125E-2</v>
      </c>
    </row>
    <row r="776" spans="1:10" ht="13.15" x14ac:dyDescent="0.4">
      <c r="A776" s="73" t="s">
        <v>24</v>
      </c>
      <c r="B776" s="87">
        <v>499</v>
      </c>
      <c r="C776" s="86">
        <v>322</v>
      </c>
      <c r="D776" s="86">
        <v>123</v>
      </c>
      <c r="E776" s="87">
        <v>54</v>
      </c>
      <c r="F776" s="86"/>
      <c r="G776" s="75">
        <f>B776/500</f>
        <v>0.998</v>
      </c>
      <c r="H776" s="75">
        <f t="shared" si="51"/>
        <v>0.64529058116232463</v>
      </c>
      <c r="I776" s="75">
        <f t="shared" si="52"/>
        <v>0.24649298597194388</v>
      </c>
      <c r="J776" s="75">
        <f t="shared" si="53"/>
        <v>0.10821643286573146</v>
      </c>
    </row>
    <row r="777" spans="1:10" ht="13.15" x14ac:dyDescent="0.4">
      <c r="A777" s="73"/>
      <c r="B777" s="87"/>
      <c r="C777" s="86"/>
      <c r="D777" s="86"/>
      <c r="E777" s="87"/>
      <c r="F777" s="86"/>
      <c r="G777" s="75"/>
      <c r="H777" s="75"/>
      <c r="I777" s="75"/>
      <c r="J777" s="75"/>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F1" sqref="F1"/>
    </sheetView>
  </sheetViews>
  <sheetFormatPr defaultColWidth="16" defaultRowHeight="13.5" x14ac:dyDescent="0.35"/>
  <cols>
    <col min="1" max="1" width="12.73046875" style="223" customWidth="1"/>
    <col min="2" max="2" width="5.59765625" style="223" bestFit="1" customWidth="1"/>
    <col min="3" max="3" width="9.1328125" style="223" bestFit="1" customWidth="1"/>
    <col min="4" max="4" width="51.59765625" style="223" bestFit="1" customWidth="1"/>
    <col min="5" max="5" width="24.86328125" style="223" bestFit="1" customWidth="1"/>
    <col min="6" max="6" width="43.1328125" style="223" bestFit="1" customWidth="1"/>
    <col min="7" max="7" width="10.86328125" style="224" customWidth="1"/>
    <col min="8" max="8" width="28.1328125" style="224" bestFit="1" customWidth="1"/>
    <col min="9" max="9" width="56.59765625" style="224" bestFit="1" customWidth="1"/>
    <col min="10" max="16384" width="16" style="224"/>
  </cols>
  <sheetData>
    <row r="1" spans="1:10" ht="13.9" x14ac:dyDescent="0.4">
      <c r="A1" s="306" t="s">
        <v>662</v>
      </c>
      <c r="B1" s="225"/>
      <c r="C1" s="225"/>
      <c r="D1" s="225"/>
      <c r="E1" s="225"/>
      <c r="F1" s="225"/>
      <c r="H1" s="269">
        <v>44712</v>
      </c>
      <c r="I1" s="238" t="s">
        <v>233</v>
      </c>
    </row>
    <row r="2" spans="1:10" ht="13.9" x14ac:dyDescent="0.4">
      <c r="A2" s="306" t="s">
        <v>663</v>
      </c>
      <c r="B2" s="225"/>
      <c r="C2" s="225"/>
      <c r="D2" s="225"/>
      <c r="E2" s="225"/>
      <c r="F2" s="225"/>
      <c r="G2" s="225"/>
      <c r="H2" s="220">
        <v>44683</v>
      </c>
      <c r="I2" s="239" t="s">
        <v>339</v>
      </c>
      <c r="J2" s="225"/>
    </row>
    <row r="3" spans="1:10" ht="13.9" x14ac:dyDescent="0.4">
      <c r="A3" s="306" t="s">
        <v>458</v>
      </c>
      <c r="B3" s="225" t="s">
        <v>200</v>
      </c>
      <c r="C3" s="225" t="s">
        <v>459</v>
      </c>
      <c r="D3" s="225" t="s">
        <v>460</v>
      </c>
      <c r="E3" s="225" t="s">
        <v>137</v>
      </c>
      <c r="F3" s="225" t="s">
        <v>461</v>
      </c>
      <c r="G3" s="225"/>
      <c r="H3" s="220">
        <v>44683</v>
      </c>
      <c r="I3" s="239" t="s">
        <v>442</v>
      </c>
      <c r="J3" s="225"/>
    </row>
    <row r="4" spans="1:10" ht="13.9" x14ac:dyDescent="0.4">
      <c r="A4" s="296" t="s">
        <v>625</v>
      </c>
      <c r="B4" s="224"/>
      <c r="C4" s="224" t="s">
        <v>664</v>
      </c>
      <c r="D4" s="224" t="s">
        <v>665</v>
      </c>
      <c r="E4" s="224" t="s">
        <v>383</v>
      </c>
      <c r="F4" s="224" t="s">
        <v>640</v>
      </c>
      <c r="G4" s="225"/>
      <c r="H4" s="220">
        <v>44683</v>
      </c>
      <c r="I4" s="239" t="s">
        <v>340</v>
      </c>
      <c r="J4" s="225"/>
    </row>
    <row r="5" spans="1:10" ht="13.9" x14ac:dyDescent="0.4">
      <c r="A5" s="296" t="s">
        <v>593</v>
      </c>
      <c r="B5" s="224"/>
      <c r="C5" s="224" t="s">
        <v>666</v>
      </c>
      <c r="D5" s="224" t="s">
        <v>667</v>
      </c>
      <c r="E5" s="224" t="s">
        <v>383</v>
      </c>
      <c r="F5" s="224" t="s">
        <v>668</v>
      </c>
      <c r="G5" s="225"/>
      <c r="H5" s="220">
        <v>44684</v>
      </c>
      <c r="I5" s="239" t="s">
        <v>644</v>
      </c>
      <c r="J5" s="225"/>
    </row>
    <row r="6" spans="1:10" ht="13.9" x14ac:dyDescent="0.4">
      <c r="A6" s="296" t="s">
        <v>593</v>
      </c>
      <c r="B6" s="224" t="s">
        <v>200</v>
      </c>
      <c r="C6" s="224" t="s">
        <v>669</v>
      </c>
      <c r="D6" s="224" t="s">
        <v>670</v>
      </c>
      <c r="E6" s="224" t="s">
        <v>131</v>
      </c>
      <c r="F6" s="224" t="s">
        <v>671</v>
      </c>
      <c r="G6" s="225"/>
      <c r="H6" s="220">
        <v>44684</v>
      </c>
      <c r="I6" s="239" t="s">
        <v>595</v>
      </c>
      <c r="J6" s="225"/>
    </row>
    <row r="7" spans="1:10" ht="13.9" x14ac:dyDescent="0.4">
      <c r="A7" s="296" t="s">
        <v>593</v>
      </c>
      <c r="B7" s="224" t="s">
        <v>200</v>
      </c>
      <c r="C7" s="224" t="s">
        <v>672</v>
      </c>
      <c r="D7" s="224" t="s">
        <v>673</v>
      </c>
      <c r="E7" s="224" t="s">
        <v>132</v>
      </c>
      <c r="F7" s="224" t="s">
        <v>674</v>
      </c>
      <c r="H7" s="220">
        <v>44684</v>
      </c>
      <c r="I7" s="239" t="s">
        <v>596</v>
      </c>
      <c r="J7" s="225"/>
    </row>
    <row r="8" spans="1:10" ht="13.9" x14ac:dyDescent="0.4">
      <c r="A8" s="296" t="s">
        <v>627</v>
      </c>
      <c r="B8" s="224"/>
      <c r="C8" s="224" t="s">
        <v>675</v>
      </c>
      <c r="D8" s="224" t="s">
        <v>676</v>
      </c>
      <c r="E8" s="224" t="s">
        <v>151</v>
      </c>
      <c r="F8" s="224" t="s">
        <v>638</v>
      </c>
      <c r="H8" s="220">
        <v>44684</v>
      </c>
      <c r="I8" s="239" t="s">
        <v>645</v>
      </c>
      <c r="J8" s="225"/>
    </row>
    <row r="9" spans="1:10" x14ac:dyDescent="0.35">
      <c r="A9" s="296" t="s">
        <v>568</v>
      </c>
      <c r="B9" s="224"/>
      <c r="C9" s="224" t="s">
        <v>677</v>
      </c>
      <c r="D9" s="224" t="s">
        <v>678</v>
      </c>
      <c r="E9" s="224" t="s">
        <v>151</v>
      </c>
      <c r="F9" s="224" t="s">
        <v>635</v>
      </c>
      <c r="H9" s="220">
        <v>44685</v>
      </c>
      <c r="I9" s="239" t="s">
        <v>646</v>
      </c>
    </row>
    <row r="10" spans="1:10" ht="13.9" x14ac:dyDescent="0.4">
      <c r="A10" s="296" t="s">
        <v>568</v>
      </c>
      <c r="B10" s="224"/>
      <c r="C10" s="224" t="s">
        <v>679</v>
      </c>
      <c r="D10" s="224" t="s">
        <v>680</v>
      </c>
      <c r="E10" s="224" t="s">
        <v>131</v>
      </c>
      <c r="F10" s="224" t="s">
        <v>671</v>
      </c>
      <c r="H10" s="220">
        <v>44685</v>
      </c>
      <c r="I10" s="239" t="s">
        <v>590</v>
      </c>
      <c r="J10" s="225"/>
    </row>
    <row r="11" spans="1:10" ht="13.9" x14ac:dyDescent="0.4">
      <c r="A11" s="296" t="s">
        <v>568</v>
      </c>
      <c r="B11" s="224"/>
      <c r="C11" s="224" t="s">
        <v>681</v>
      </c>
      <c r="D11" s="224" t="s">
        <v>682</v>
      </c>
      <c r="E11" s="224" t="s">
        <v>131</v>
      </c>
      <c r="F11" s="224" t="s">
        <v>683</v>
      </c>
      <c r="G11" s="225"/>
      <c r="H11" s="220">
        <v>44685</v>
      </c>
      <c r="I11" s="239" t="s">
        <v>588</v>
      </c>
      <c r="J11" s="225"/>
    </row>
    <row r="12" spans="1:10" ht="13.9" x14ac:dyDescent="0.4">
      <c r="A12" s="296" t="s">
        <v>568</v>
      </c>
      <c r="B12" s="224"/>
      <c r="C12" s="224" t="s">
        <v>684</v>
      </c>
      <c r="D12" s="224" t="s">
        <v>685</v>
      </c>
      <c r="E12" s="224" t="s">
        <v>131</v>
      </c>
      <c r="F12" s="224" t="s">
        <v>686</v>
      </c>
      <c r="G12" s="225"/>
      <c r="H12" s="220">
        <v>44685</v>
      </c>
      <c r="I12" s="239" t="s">
        <v>545</v>
      </c>
      <c r="J12" s="225"/>
    </row>
    <row r="13" spans="1:10" ht="13.9" x14ac:dyDescent="0.4">
      <c r="A13" s="296" t="s">
        <v>630</v>
      </c>
      <c r="B13" s="224"/>
      <c r="C13" s="224" t="s">
        <v>687</v>
      </c>
      <c r="D13" s="224" t="s">
        <v>688</v>
      </c>
      <c r="E13" s="224" t="s">
        <v>131</v>
      </c>
      <c r="F13" s="224" t="s">
        <v>689</v>
      </c>
      <c r="G13" s="225"/>
      <c r="H13" s="220">
        <v>44685</v>
      </c>
      <c r="I13" s="239" t="s">
        <v>647</v>
      </c>
    </row>
    <row r="14" spans="1:10" x14ac:dyDescent="0.35">
      <c r="A14" s="296" t="s">
        <v>630</v>
      </c>
      <c r="B14" s="224" t="s">
        <v>200</v>
      </c>
      <c r="C14" s="224" t="s">
        <v>690</v>
      </c>
      <c r="D14" s="224" t="s">
        <v>691</v>
      </c>
      <c r="E14" s="224" t="s">
        <v>151</v>
      </c>
      <c r="F14" s="224" t="s">
        <v>636</v>
      </c>
      <c r="H14" s="220">
        <v>44686</v>
      </c>
      <c r="I14" s="239" t="s">
        <v>648</v>
      </c>
    </row>
    <row r="15" spans="1:10" x14ac:dyDescent="0.35">
      <c r="A15" s="296" t="s">
        <v>630</v>
      </c>
      <c r="B15" s="224"/>
      <c r="C15" s="224" t="s">
        <v>692</v>
      </c>
      <c r="D15" s="224" t="s">
        <v>693</v>
      </c>
      <c r="E15" s="224" t="s">
        <v>153</v>
      </c>
      <c r="F15" s="224" t="s">
        <v>694</v>
      </c>
      <c r="H15" s="220">
        <v>44687</v>
      </c>
      <c r="I15" s="239" t="s">
        <v>428</v>
      </c>
    </row>
    <row r="16" spans="1:10" x14ac:dyDescent="0.35">
      <c r="A16" s="296" t="s">
        <v>630</v>
      </c>
      <c r="B16" s="224"/>
      <c r="C16" s="224" t="s">
        <v>695</v>
      </c>
      <c r="D16" s="224" t="s">
        <v>696</v>
      </c>
      <c r="E16" s="224" t="s">
        <v>151</v>
      </c>
      <c r="F16" s="224" t="s">
        <v>634</v>
      </c>
      <c r="H16" s="220">
        <v>44690</v>
      </c>
      <c r="I16" s="239" t="s">
        <v>649</v>
      </c>
    </row>
    <row r="17" spans="1:10" x14ac:dyDescent="0.35">
      <c r="A17" s="296" t="s">
        <v>399</v>
      </c>
      <c r="B17" s="224"/>
      <c r="C17" s="224" t="s">
        <v>697</v>
      </c>
      <c r="D17" s="224" t="s">
        <v>698</v>
      </c>
      <c r="E17" s="224" t="s">
        <v>132</v>
      </c>
      <c r="F17" s="224" t="s">
        <v>637</v>
      </c>
      <c r="H17" s="220">
        <v>44692</v>
      </c>
      <c r="I17" s="239" t="s">
        <v>473</v>
      </c>
    </row>
    <row r="18" spans="1:10" x14ac:dyDescent="0.35">
      <c r="A18" s="296" t="s">
        <v>594</v>
      </c>
      <c r="B18" s="224"/>
      <c r="C18" s="224" t="s">
        <v>699</v>
      </c>
      <c r="D18" s="224" t="s">
        <v>700</v>
      </c>
      <c r="E18" s="224" t="s">
        <v>131</v>
      </c>
      <c r="F18" s="224" t="s">
        <v>701</v>
      </c>
      <c r="H18" s="220">
        <v>44693</v>
      </c>
      <c r="I18" s="239" t="s">
        <v>543</v>
      </c>
    </row>
    <row r="19" spans="1:10" ht="13.9" x14ac:dyDescent="0.4">
      <c r="A19" s="296" t="s">
        <v>594</v>
      </c>
      <c r="B19" s="224"/>
      <c r="C19" s="224" t="s">
        <v>702</v>
      </c>
      <c r="D19" s="224" t="s">
        <v>703</v>
      </c>
      <c r="E19" s="224" t="s">
        <v>151</v>
      </c>
      <c r="F19" s="224" t="s">
        <v>631</v>
      </c>
      <c r="G19" s="225"/>
      <c r="H19" s="220">
        <v>44694</v>
      </c>
      <c r="I19" s="239" t="s">
        <v>650</v>
      </c>
    </row>
    <row r="20" spans="1:10" ht="13.9" x14ac:dyDescent="0.4">
      <c r="A20" s="296" t="s">
        <v>594</v>
      </c>
      <c r="B20" s="224"/>
      <c r="C20" s="224" t="s">
        <v>704</v>
      </c>
      <c r="D20" s="224" t="s">
        <v>705</v>
      </c>
      <c r="E20" s="224" t="s">
        <v>131</v>
      </c>
      <c r="F20" s="224" t="s">
        <v>686</v>
      </c>
      <c r="G20" s="225"/>
      <c r="H20" s="220">
        <v>44694</v>
      </c>
      <c r="I20" s="239" t="s">
        <v>651</v>
      </c>
    </row>
    <row r="21" spans="1:10" ht="13.9" x14ac:dyDescent="0.4">
      <c r="A21" s="296" t="s">
        <v>594</v>
      </c>
      <c r="B21" s="224"/>
      <c r="C21" s="224" t="s">
        <v>706</v>
      </c>
      <c r="D21" s="224" t="s">
        <v>707</v>
      </c>
      <c r="E21" s="224" t="s">
        <v>131</v>
      </c>
      <c r="F21" s="224" t="s">
        <v>641</v>
      </c>
      <c r="G21" s="225"/>
      <c r="H21" s="220">
        <v>44694</v>
      </c>
      <c r="I21" s="239" t="s">
        <v>475</v>
      </c>
      <c r="J21" s="225"/>
    </row>
    <row r="22" spans="1:10" ht="13.9" x14ac:dyDescent="0.4">
      <c r="A22" s="296" t="s">
        <v>633</v>
      </c>
      <c r="B22" s="224"/>
      <c r="C22" s="224" t="s">
        <v>708</v>
      </c>
      <c r="D22" s="224" t="s">
        <v>709</v>
      </c>
      <c r="E22" s="224" t="s">
        <v>153</v>
      </c>
      <c r="F22" s="224" t="s">
        <v>710</v>
      </c>
      <c r="G22" s="225"/>
      <c r="H22" s="220">
        <v>44698</v>
      </c>
      <c r="I22" s="239" t="s">
        <v>652</v>
      </c>
      <c r="J22" s="225"/>
    </row>
    <row r="23" spans="1:10" ht="13.9" x14ac:dyDescent="0.4">
      <c r="A23" s="296"/>
      <c r="B23" s="224"/>
      <c r="C23" s="224"/>
      <c r="D23" s="224"/>
      <c r="E23" s="224"/>
      <c r="F23" s="224"/>
      <c r="H23" s="220">
        <v>44698</v>
      </c>
      <c r="I23" s="239" t="s">
        <v>474</v>
      </c>
      <c r="J23" s="225"/>
    </row>
    <row r="24" spans="1:10" ht="13.9" x14ac:dyDescent="0.4">
      <c r="A24" s="296"/>
      <c r="B24" s="224"/>
      <c r="C24" s="224"/>
      <c r="D24" s="224"/>
      <c r="E24" s="224"/>
      <c r="F24" s="224"/>
      <c r="H24" s="220">
        <v>44698</v>
      </c>
      <c r="I24" s="239" t="s">
        <v>589</v>
      </c>
      <c r="J24" s="225"/>
    </row>
    <row r="25" spans="1:10" x14ac:dyDescent="0.35">
      <c r="A25" s="296"/>
      <c r="B25" s="224"/>
      <c r="C25" s="224"/>
      <c r="D25" s="224"/>
      <c r="E25" s="224"/>
      <c r="F25" s="224"/>
      <c r="H25" s="220">
        <v>44698</v>
      </c>
      <c r="I25" s="239" t="s">
        <v>544</v>
      </c>
    </row>
    <row r="26" spans="1:10" ht="13.9" x14ac:dyDescent="0.4">
      <c r="A26" s="306" t="s">
        <v>711</v>
      </c>
      <c r="B26" s="225"/>
      <c r="C26" s="225"/>
      <c r="D26" s="225"/>
      <c r="E26" s="225"/>
      <c r="F26" s="225"/>
      <c r="H26" s="220">
        <v>44698</v>
      </c>
      <c r="I26" s="239" t="s">
        <v>597</v>
      </c>
    </row>
    <row r="27" spans="1:10" ht="13.9" x14ac:dyDescent="0.4">
      <c r="A27" s="306" t="s">
        <v>712</v>
      </c>
      <c r="B27" s="225"/>
      <c r="C27" s="225"/>
      <c r="D27" s="225"/>
      <c r="E27" s="225"/>
      <c r="F27" s="225"/>
      <c r="H27" s="220">
        <v>44699</v>
      </c>
      <c r="I27" s="239" t="s">
        <v>598</v>
      </c>
    </row>
    <row r="28" spans="1:10" ht="13.9" x14ac:dyDescent="0.4">
      <c r="A28" s="306" t="s">
        <v>458</v>
      </c>
      <c r="B28" s="225" t="s">
        <v>200</v>
      </c>
      <c r="C28" s="225" t="s">
        <v>459</v>
      </c>
      <c r="D28" s="225" t="s">
        <v>460</v>
      </c>
      <c r="E28" s="225" t="s">
        <v>137</v>
      </c>
      <c r="F28" s="225" t="s">
        <v>461</v>
      </c>
      <c r="G28" s="225"/>
      <c r="H28" s="220">
        <v>44700</v>
      </c>
      <c r="I28" s="239" t="s">
        <v>599</v>
      </c>
      <c r="J28" s="225"/>
    </row>
    <row r="29" spans="1:10" ht="13.9" x14ac:dyDescent="0.4">
      <c r="A29" s="296" t="s">
        <v>625</v>
      </c>
      <c r="B29" s="224"/>
      <c r="C29" s="224" t="s">
        <v>713</v>
      </c>
      <c r="D29" s="224" t="s">
        <v>714</v>
      </c>
      <c r="E29" s="224" t="s">
        <v>153</v>
      </c>
      <c r="F29" s="224" t="s">
        <v>626</v>
      </c>
      <c r="G29" s="225"/>
      <c r="H29" s="220">
        <v>44700</v>
      </c>
      <c r="I29" s="239" t="s">
        <v>653</v>
      </c>
      <c r="J29" s="225"/>
    </row>
    <row r="30" spans="1:10" ht="13.9" x14ac:dyDescent="0.4">
      <c r="A30" s="296" t="s">
        <v>593</v>
      </c>
      <c r="B30" s="224"/>
      <c r="C30" s="224" t="s">
        <v>715</v>
      </c>
      <c r="D30" s="224" t="s">
        <v>716</v>
      </c>
      <c r="E30" s="224" t="s">
        <v>131</v>
      </c>
      <c r="F30" s="224" t="s">
        <v>701</v>
      </c>
      <c r="G30" s="225"/>
      <c r="H30" s="220">
        <v>44700</v>
      </c>
      <c r="I30" s="239" t="s">
        <v>591</v>
      </c>
      <c r="J30" s="225"/>
    </row>
    <row r="31" spans="1:10" ht="13.9" x14ac:dyDescent="0.4">
      <c r="A31" s="296" t="s">
        <v>593</v>
      </c>
      <c r="B31" s="224"/>
      <c r="C31" s="224" t="s">
        <v>717</v>
      </c>
      <c r="D31" s="224" t="s">
        <v>718</v>
      </c>
      <c r="E31" s="224" t="s">
        <v>131</v>
      </c>
      <c r="F31" s="224" t="s">
        <v>719</v>
      </c>
      <c r="H31" s="220">
        <v>44705</v>
      </c>
      <c r="I31" s="239" t="s">
        <v>592</v>
      </c>
      <c r="J31" s="225"/>
    </row>
    <row r="32" spans="1:10" x14ac:dyDescent="0.35">
      <c r="A32" s="296" t="s">
        <v>593</v>
      </c>
      <c r="B32" s="224"/>
      <c r="C32" s="224" t="s">
        <v>720</v>
      </c>
      <c r="D32" s="224" t="s">
        <v>721</v>
      </c>
      <c r="E32" s="224" t="s">
        <v>131</v>
      </c>
      <c r="F32" s="224" t="s">
        <v>641</v>
      </c>
      <c r="H32" s="220">
        <v>45434</v>
      </c>
      <c r="I32" s="239" t="s">
        <v>654</v>
      </c>
    </row>
    <row r="33" spans="1:12" x14ac:dyDescent="0.35">
      <c r="A33" s="296" t="s">
        <v>627</v>
      </c>
      <c r="B33" s="224"/>
      <c r="C33" s="224" t="s">
        <v>722</v>
      </c>
      <c r="D33" s="224" t="s">
        <v>723</v>
      </c>
      <c r="E33" s="224" t="s">
        <v>133</v>
      </c>
      <c r="F33" s="224" t="s">
        <v>632</v>
      </c>
      <c r="H33" s="220">
        <v>44705</v>
      </c>
      <c r="I33" s="239" t="s">
        <v>600</v>
      </c>
    </row>
    <row r="34" spans="1:12" x14ac:dyDescent="0.35">
      <c r="A34" s="296" t="s">
        <v>627</v>
      </c>
      <c r="B34" s="224"/>
      <c r="C34" s="224" t="s">
        <v>724</v>
      </c>
      <c r="D34" s="224" t="s">
        <v>725</v>
      </c>
      <c r="E34" s="224" t="s">
        <v>151</v>
      </c>
      <c r="F34" s="224" t="s">
        <v>634</v>
      </c>
      <c r="H34" s="220">
        <v>44706</v>
      </c>
      <c r="I34" s="239" t="s">
        <v>554</v>
      </c>
    </row>
    <row r="35" spans="1:12" x14ac:dyDescent="0.35">
      <c r="A35" s="296" t="s">
        <v>630</v>
      </c>
      <c r="B35" s="224"/>
      <c r="C35" s="224" t="s">
        <v>726</v>
      </c>
      <c r="D35" s="224" t="s">
        <v>727</v>
      </c>
      <c r="E35" s="224" t="s">
        <v>151</v>
      </c>
      <c r="F35" s="224" t="s">
        <v>628</v>
      </c>
      <c r="H35" s="220">
        <v>44707</v>
      </c>
      <c r="I35" s="239" t="s">
        <v>655</v>
      </c>
    </row>
    <row r="36" spans="1:12" ht="13.9" x14ac:dyDescent="0.4">
      <c r="A36" s="296" t="s">
        <v>630</v>
      </c>
      <c r="B36" s="224"/>
      <c r="C36" s="224" t="s">
        <v>728</v>
      </c>
      <c r="D36" s="224" t="s">
        <v>729</v>
      </c>
      <c r="E36" s="224" t="s">
        <v>151</v>
      </c>
      <c r="F36" s="224" t="s">
        <v>635</v>
      </c>
      <c r="H36" s="220">
        <v>44707</v>
      </c>
      <c r="I36" s="239" t="s">
        <v>656</v>
      </c>
      <c r="K36" s="225"/>
      <c r="L36" s="225"/>
    </row>
    <row r="37" spans="1:12" ht="13.9" x14ac:dyDescent="0.4">
      <c r="A37" s="296" t="s">
        <v>399</v>
      </c>
      <c r="B37" s="224"/>
      <c r="C37" s="224" t="s">
        <v>730</v>
      </c>
      <c r="D37" s="224" t="s">
        <v>731</v>
      </c>
      <c r="E37" s="224" t="s">
        <v>131</v>
      </c>
      <c r="F37" s="224" t="s">
        <v>683</v>
      </c>
      <c r="H37" s="220">
        <v>44707</v>
      </c>
      <c r="I37" s="239" t="s">
        <v>514</v>
      </c>
      <c r="J37" s="225"/>
      <c r="K37" s="225"/>
      <c r="L37" s="225"/>
    </row>
    <row r="38" spans="1:12" ht="13.9" x14ac:dyDescent="0.4">
      <c r="A38" s="296" t="s">
        <v>399</v>
      </c>
      <c r="B38" s="224"/>
      <c r="C38" s="224" t="s">
        <v>732</v>
      </c>
      <c r="D38" s="224" t="s">
        <v>733</v>
      </c>
      <c r="E38" s="224" t="s">
        <v>131</v>
      </c>
      <c r="F38" s="224" t="s">
        <v>683</v>
      </c>
      <c r="G38" s="225"/>
      <c r="H38" s="220">
        <v>44708</v>
      </c>
      <c r="I38" s="239" t="s">
        <v>657</v>
      </c>
      <c r="J38" s="225"/>
      <c r="K38" s="225"/>
      <c r="L38" s="225"/>
    </row>
    <row r="39" spans="1:12" ht="13.9" x14ac:dyDescent="0.4">
      <c r="A39" s="296" t="s">
        <v>399</v>
      </c>
      <c r="B39" s="224"/>
      <c r="C39" s="224" t="s">
        <v>734</v>
      </c>
      <c r="D39" s="224" t="s">
        <v>735</v>
      </c>
      <c r="E39" s="224" t="s">
        <v>133</v>
      </c>
      <c r="F39" s="224" t="s">
        <v>629</v>
      </c>
      <c r="G39" s="225"/>
      <c r="H39" s="220">
        <v>44708</v>
      </c>
      <c r="I39" s="239" t="s">
        <v>565</v>
      </c>
      <c r="J39" s="225"/>
      <c r="K39" s="225"/>
      <c r="L39" s="225"/>
    </row>
    <row r="40" spans="1:12" ht="13.9" x14ac:dyDescent="0.4">
      <c r="A40" s="296" t="s">
        <v>594</v>
      </c>
      <c r="B40" s="224"/>
      <c r="C40" s="224" t="s">
        <v>736</v>
      </c>
      <c r="D40" s="224" t="s">
        <v>737</v>
      </c>
      <c r="E40" s="224" t="s">
        <v>151</v>
      </c>
      <c r="F40" s="224" t="s">
        <v>634</v>
      </c>
      <c r="G40" s="225"/>
      <c r="H40" s="220">
        <v>44708</v>
      </c>
      <c r="I40" s="239" t="s">
        <v>658</v>
      </c>
      <c r="K40" s="225"/>
      <c r="L40" s="225"/>
    </row>
    <row r="41" spans="1:12" s="225" customFormat="1" ht="13.9" x14ac:dyDescent="0.4">
      <c r="A41" s="296" t="s">
        <v>594</v>
      </c>
      <c r="B41" s="224"/>
      <c r="C41" s="224" t="s">
        <v>738</v>
      </c>
      <c r="D41" s="224" t="s">
        <v>739</v>
      </c>
      <c r="E41" s="224" t="s">
        <v>132</v>
      </c>
      <c r="F41" s="224" t="s">
        <v>674</v>
      </c>
      <c r="G41" s="224"/>
      <c r="H41" s="220">
        <v>44708</v>
      </c>
      <c r="I41" s="239" t="s">
        <v>649</v>
      </c>
      <c r="J41" s="224"/>
    </row>
    <row r="42" spans="1:12" s="225" customFormat="1" ht="13.9" x14ac:dyDescent="0.4">
      <c r="A42" s="296" t="s">
        <v>594</v>
      </c>
      <c r="B42" s="224"/>
      <c r="C42" s="224" t="s">
        <v>740</v>
      </c>
      <c r="D42" s="224" t="s">
        <v>741</v>
      </c>
      <c r="E42" s="224" t="s">
        <v>151</v>
      </c>
      <c r="F42" s="224" t="s">
        <v>742</v>
      </c>
      <c r="G42" s="224"/>
      <c r="H42" s="220">
        <v>44708</v>
      </c>
      <c r="I42" s="239" t="s">
        <v>475</v>
      </c>
      <c r="J42" s="224"/>
      <c r="K42" s="224"/>
      <c r="L42" s="224"/>
    </row>
    <row r="43" spans="1:12" s="225" customFormat="1" ht="13.9" x14ac:dyDescent="0.4">
      <c r="A43" s="296" t="s">
        <v>594</v>
      </c>
      <c r="B43" s="224" t="s">
        <v>200</v>
      </c>
      <c r="C43" s="224" t="s">
        <v>743</v>
      </c>
      <c r="D43" s="224" t="s">
        <v>744</v>
      </c>
      <c r="E43" s="224" t="s">
        <v>151</v>
      </c>
      <c r="F43" s="224" t="s">
        <v>634</v>
      </c>
      <c r="G43" s="224"/>
      <c r="H43" s="220">
        <v>44711</v>
      </c>
      <c r="I43" s="239" t="s">
        <v>659</v>
      </c>
      <c r="J43" s="224"/>
      <c r="K43" s="224"/>
      <c r="L43" s="224"/>
    </row>
    <row r="44" spans="1:12" s="225" customFormat="1" ht="13.9" x14ac:dyDescent="0.4">
      <c r="A44" s="296" t="s">
        <v>594</v>
      </c>
      <c r="B44" s="224"/>
      <c r="C44" s="224" t="s">
        <v>745</v>
      </c>
      <c r="D44" s="224" t="s">
        <v>746</v>
      </c>
      <c r="E44" s="224" t="s">
        <v>131</v>
      </c>
      <c r="F44" s="224" t="s">
        <v>689</v>
      </c>
      <c r="G44" s="224"/>
      <c r="H44" s="220">
        <v>44712</v>
      </c>
      <c r="I44" s="239" t="s">
        <v>660</v>
      </c>
      <c r="J44" s="224"/>
    </row>
    <row r="45" spans="1:12" s="225" customFormat="1" ht="13.9" x14ac:dyDescent="0.4">
      <c r="A45" s="296"/>
      <c r="B45" s="224"/>
      <c r="C45" s="224"/>
      <c r="D45" s="224"/>
      <c r="E45" s="224"/>
      <c r="F45" s="224"/>
      <c r="G45" s="224"/>
      <c r="H45" s="220">
        <v>44712</v>
      </c>
      <c r="I45" s="239" t="s">
        <v>475</v>
      </c>
      <c r="J45" s="224"/>
    </row>
    <row r="46" spans="1:12" s="225" customFormat="1" ht="13.9" x14ac:dyDescent="0.4">
      <c r="A46" s="296"/>
      <c r="B46" s="224"/>
      <c r="C46" s="224"/>
      <c r="D46" s="224"/>
      <c r="E46" s="224"/>
      <c r="F46" s="224"/>
      <c r="G46" s="224"/>
      <c r="H46" s="263" t="s">
        <v>450</v>
      </c>
      <c r="I46" s="239" t="s">
        <v>451</v>
      </c>
      <c r="J46" s="224"/>
      <c r="K46" s="224"/>
      <c r="L46" s="224"/>
    </row>
    <row r="47" spans="1:12" x14ac:dyDescent="0.35">
      <c r="A47" s="296"/>
      <c r="B47" s="224"/>
      <c r="C47" s="224"/>
      <c r="D47" s="224"/>
      <c r="E47" s="224"/>
      <c r="F47" s="224"/>
      <c r="H47" s="263" t="s">
        <v>450</v>
      </c>
      <c r="I47" s="239" t="s">
        <v>452</v>
      </c>
    </row>
    <row r="48" spans="1:12" ht="13.9" x14ac:dyDescent="0.4">
      <c r="A48" s="306" t="s">
        <v>747</v>
      </c>
      <c r="B48" s="225"/>
      <c r="C48" s="225"/>
      <c r="D48" s="225"/>
      <c r="E48" s="225"/>
      <c r="F48" s="225"/>
      <c r="H48" s="263" t="s">
        <v>453</v>
      </c>
      <c r="I48" s="239" t="s">
        <v>454</v>
      </c>
    </row>
    <row r="49" spans="1:12" ht="13.9" x14ac:dyDescent="0.4">
      <c r="A49" s="306" t="s">
        <v>748</v>
      </c>
      <c r="B49" s="225"/>
      <c r="C49" s="225"/>
      <c r="D49" s="225"/>
      <c r="E49" s="225"/>
      <c r="F49" s="225"/>
    </row>
    <row r="50" spans="1:12" ht="13.9" x14ac:dyDescent="0.4">
      <c r="A50" s="306" t="s">
        <v>458</v>
      </c>
      <c r="B50" s="225" t="s">
        <v>200</v>
      </c>
      <c r="C50" s="225" t="s">
        <v>459</v>
      </c>
      <c r="D50" s="225" t="s">
        <v>460</v>
      </c>
      <c r="E50" s="225" t="s">
        <v>137</v>
      </c>
      <c r="F50" s="225" t="s">
        <v>461</v>
      </c>
    </row>
    <row r="51" spans="1:12" ht="13.9" x14ac:dyDescent="0.4">
      <c r="A51" s="296" t="s">
        <v>627</v>
      </c>
      <c r="B51" s="224"/>
      <c r="C51" s="224" t="s">
        <v>749</v>
      </c>
      <c r="D51" s="224" t="s">
        <v>750</v>
      </c>
      <c r="E51" s="224" t="s">
        <v>151</v>
      </c>
      <c r="F51" s="224" t="s">
        <v>742</v>
      </c>
      <c r="K51" s="225"/>
      <c r="L51" s="225"/>
    </row>
    <row r="52" spans="1:12" ht="13.9" x14ac:dyDescent="0.4">
      <c r="A52" s="296" t="s">
        <v>630</v>
      </c>
      <c r="B52" s="224"/>
      <c r="C52" s="224" t="s">
        <v>751</v>
      </c>
      <c r="D52" s="224" t="s">
        <v>752</v>
      </c>
      <c r="E52" s="224" t="s">
        <v>151</v>
      </c>
      <c r="F52" s="224" t="s">
        <v>742</v>
      </c>
      <c r="K52" s="225"/>
      <c r="L52" s="225"/>
    </row>
    <row r="53" spans="1:12" ht="13.9" x14ac:dyDescent="0.4">
      <c r="A53" s="296" t="s">
        <v>630</v>
      </c>
      <c r="B53" s="224"/>
      <c r="C53" s="224" t="s">
        <v>753</v>
      </c>
      <c r="D53" s="224" t="s">
        <v>754</v>
      </c>
      <c r="E53" s="224" t="s">
        <v>131</v>
      </c>
      <c r="F53" s="224" t="s">
        <v>641</v>
      </c>
      <c r="G53" s="225"/>
      <c r="K53" s="225"/>
      <c r="L53" s="225"/>
    </row>
    <row r="54" spans="1:12" ht="13.9" x14ac:dyDescent="0.4">
      <c r="A54" s="296" t="s">
        <v>399</v>
      </c>
      <c r="B54" s="224"/>
      <c r="C54" s="224" t="s">
        <v>755</v>
      </c>
      <c r="D54" s="224" t="s">
        <v>756</v>
      </c>
      <c r="E54" s="224" t="s">
        <v>132</v>
      </c>
      <c r="F54" s="224" t="s">
        <v>637</v>
      </c>
      <c r="G54" s="225"/>
    </row>
    <row r="55" spans="1:12" ht="13.9" x14ac:dyDescent="0.4">
      <c r="A55" s="296" t="s">
        <v>594</v>
      </c>
      <c r="B55" s="224"/>
      <c r="C55" s="224" t="s">
        <v>757</v>
      </c>
      <c r="D55" s="224" t="s">
        <v>758</v>
      </c>
      <c r="E55" s="224" t="s">
        <v>151</v>
      </c>
      <c r="F55" s="224" t="s">
        <v>635</v>
      </c>
      <c r="G55" s="225"/>
      <c r="K55" s="225"/>
      <c r="L55" s="225"/>
    </row>
    <row r="56" spans="1:12" s="225" customFormat="1" ht="13.9" x14ac:dyDescent="0.4">
      <c r="A56" s="296" t="s">
        <v>594</v>
      </c>
      <c r="B56" s="224"/>
      <c r="C56" s="224" t="s">
        <v>759</v>
      </c>
      <c r="D56" s="224" t="s">
        <v>760</v>
      </c>
      <c r="E56" s="224" t="s">
        <v>133</v>
      </c>
      <c r="F56" s="224" t="s">
        <v>639</v>
      </c>
      <c r="H56" s="224"/>
      <c r="I56" s="224"/>
      <c r="J56" s="224"/>
    </row>
    <row r="57" spans="1:12" s="225" customFormat="1" ht="13.9" x14ac:dyDescent="0.4">
      <c r="A57" s="296"/>
      <c r="B57" s="224"/>
      <c r="C57" s="224"/>
      <c r="D57" s="224"/>
      <c r="E57" s="224"/>
      <c r="F57" s="224"/>
    </row>
    <row r="58" spans="1:12" s="225" customFormat="1" ht="13.9" x14ac:dyDescent="0.4">
      <c r="A58" s="296"/>
      <c r="B58" s="224"/>
      <c r="C58" s="224"/>
      <c r="D58" s="224"/>
      <c r="E58" s="224"/>
      <c r="F58" s="224"/>
    </row>
    <row r="59" spans="1:12" ht="13.9" x14ac:dyDescent="0.4">
      <c r="A59" s="296"/>
      <c r="B59" s="224"/>
      <c r="C59" s="224"/>
      <c r="D59" s="224"/>
      <c r="E59" s="224"/>
      <c r="F59" s="224"/>
      <c r="G59" s="225"/>
      <c r="H59" s="225"/>
      <c r="I59" s="225"/>
      <c r="J59" s="225"/>
      <c r="K59" s="225"/>
      <c r="L59" s="225"/>
    </row>
    <row r="60" spans="1:12" s="225" customFormat="1" ht="13.9" x14ac:dyDescent="0.4">
      <c r="A60" s="296"/>
      <c r="B60" s="224"/>
      <c r="C60" s="224"/>
      <c r="D60" s="224"/>
      <c r="E60" s="224"/>
      <c r="F60" s="224"/>
      <c r="H60" s="224"/>
      <c r="I60" s="224"/>
    </row>
    <row r="61" spans="1:12" s="225" customFormat="1" ht="13.9" x14ac:dyDescent="0.4">
      <c r="A61" s="296"/>
      <c r="B61" s="224"/>
      <c r="C61" s="224"/>
      <c r="D61" s="224"/>
      <c r="E61" s="224"/>
      <c r="F61" s="224"/>
      <c r="G61" s="224"/>
      <c r="H61" s="224"/>
      <c r="I61" s="224"/>
    </row>
    <row r="62" spans="1:12" s="225" customFormat="1" ht="13.9" x14ac:dyDescent="0.4">
      <c r="A62" s="296"/>
      <c r="B62" s="224"/>
      <c r="C62" s="224"/>
      <c r="D62" s="224"/>
      <c r="E62" s="224"/>
      <c r="F62" s="224"/>
      <c r="G62" s="224"/>
      <c r="H62" s="224"/>
      <c r="I62" s="224"/>
      <c r="J62" s="224"/>
    </row>
    <row r="63" spans="1:12" s="225" customFormat="1" ht="13.9" x14ac:dyDescent="0.4">
      <c r="A63" s="296"/>
      <c r="B63" s="224"/>
      <c r="C63" s="224"/>
      <c r="D63" s="224"/>
      <c r="E63" s="224"/>
      <c r="F63" s="224"/>
      <c r="G63" s="224"/>
      <c r="H63" s="224"/>
      <c r="I63" s="224"/>
      <c r="J63" s="224"/>
      <c r="K63" s="224"/>
      <c r="L63" s="224"/>
    </row>
    <row r="64" spans="1:12" s="225" customFormat="1" ht="13.9" x14ac:dyDescent="0.4">
      <c r="A64" s="296"/>
      <c r="B64" s="224"/>
      <c r="C64" s="224"/>
      <c r="D64" s="224"/>
      <c r="E64" s="224"/>
      <c r="F64" s="224"/>
      <c r="G64" s="224"/>
      <c r="H64" s="224"/>
      <c r="I64" s="224"/>
      <c r="J64" s="224"/>
    </row>
    <row r="65" spans="1:12" s="225" customFormat="1" ht="13.9" x14ac:dyDescent="0.4">
      <c r="A65" s="296"/>
      <c r="B65" s="224"/>
      <c r="C65" s="224"/>
      <c r="D65" s="224"/>
      <c r="E65" s="224"/>
      <c r="F65" s="224"/>
      <c r="G65" s="224"/>
      <c r="H65" s="224"/>
      <c r="I65" s="224"/>
    </row>
    <row r="66" spans="1:12" s="225" customFormat="1" ht="13.9" x14ac:dyDescent="0.4">
      <c r="A66" s="296"/>
      <c r="B66" s="224"/>
      <c r="C66" s="224"/>
      <c r="D66" s="224"/>
      <c r="E66" s="224"/>
      <c r="F66" s="224"/>
      <c r="G66" s="224"/>
      <c r="H66" s="224"/>
      <c r="I66" s="224"/>
    </row>
    <row r="67" spans="1:12" s="225" customFormat="1" ht="13.9" x14ac:dyDescent="0.4">
      <c r="A67" s="296"/>
      <c r="B67" s="224"/>
      <c r="C67" s="224"/>
      <c r="D67" s="224"/>
      <c r="E67" s="224"/>
      <c r="F67" s="224"/>
      <c r="G67" s="224"/>
      <c r="H67" s="224"/>
      <c r="I67" s="224"/>
      <c r="K67" s="224"/>
      <c r="L67" s="224"/>
    </row>
    <row r="68" spans="1:12" ht="13.9" x14ac:dyDescent="0.4">
      <c r="A68" s="296"/>
      <c r="B68" s="224"/>
      <c r="C68" s="224"/>
      <c r="D68" s="224"/>
      <c r="E68" s="224"/>
      <c r="F68" s="224"/>
      <c r="J68" s="225"/>
    </row>
    <row r="69" spans="1:12" s="225" customFormat="1" ht="13.9" x14ac:dyDescent="0.4">
      <c r="A69" s="296"/>
      <c r="B69" s="224"/>
      <c r="C69" s="224"/>
      <c r="D69" s="224"/>
      <c r="E69" s="224"/>
      <c r="F69" s="224"/>
      <c r="G69" s="224"/>
      <c r="H69" s="224"/>
      <c r="I69" s="224"/>
      <c r="K69" s="224"/>
      <c r="L69" s="224"/>
    </row>
    <row r="70" spans="1:12" s="225" customFormat="1" ht="13.9" x14ac:dyDescent="0.4">
      <c r="A70" s="296"/>
      <c r="B70" s="224"/>
      <c r="C70" s="224"/>
      <c r="D70" s="224"/>
      <c r="E70" s="224"/>
      <c r="F70" s="224"/>
      <c r="G70" s="224"/>
      <c r="H70" s="224"/>
      <c r="I70" s="224"/>
      <c r="J70" s="224"/>
      <c r="K70" s="224"/>
      <c r="L70" s="224"/>
    </row>
    <row r="71" spans="1:12" s="225" customFormat="1" ht="13.9" x14ac:dyDescent="0.4">
      <c r="A71" s="296"/>
      <c r="B71" s="224"/>
      <c r="C71" s="224"/>
      <c r="D71" s="224"/>
      <c r="E71" s="224"/>
      <c r="F71" s="224"/>
      <c r="G71" s="224"/>
      <c r="H71" s="224"/>
      <c r="I71" s="224"/>
      <c r="J71" s="224"/>
      <c r="K71" s="224"/>
      <c r="L71" s="224"/>
    </row>
    <row r="72" spans="1:12" x14ac:dyDescent="0.35">
      <c r="A72" s="296"/>
      <c r="B72" s="224"/>
      <c r="C72" s="224"/>
      <c r="D72" s="224"/>
      <c r="E72" s="224"/>
      <c r="F72" s="224"/>
    </row>
    <row r="73" spans="1:12" ht="13.9" x14ac:dyDescent="0.4">
      <c r="A73" s="296"/>
      <c r="B73" s="224"/>
      <c r="C73" s="224"/>
      <c r="D73" s="224"/>
      <c r="E73" s="224"/>
      <c r="F73" s="224"/>
      <c r="G73" s="225"/>
    </row>
    <row r="74" spans="1:12" ht="13.9" x14ac:dyDescent="0.4">
      <c r="A74" s="296"/>
      <c r="B74" s="224"/>
      <c r="C74" s="224"/>
      <c r="D74" s="224"/>
      <c r="E74" s="224"/>
      <c r="F74" s="224"/>
      <c r="G74" s="225"/>
    </row>
    <row r="75" spans="1:12" ht="13.9" x14ac:dyDescent="0.4">
      <c r="A75" s="296"/>
      <c r="B75" s="224"/>
      <c r="C75" s="224"/>
      <c r="D75" s="224"/>
      <c r="E75" s="224"/>
      <c r="F75" s="224"/>
      <c r="G75" s="225"/>
      <c r="K75" s="225"/>
      <c r="L75" s="225"/>
    </row>
    <row r="76" spans="1:12" ht="13.9" x14ac:dyDescent="0.4">
      <c r="A76" s="296"/>
      <c r="B76" s="224"/>
      <c r="C76" s="224"/>
      <c r="D76" s="224"/>
      <c r="E76" s="224"/>
      <c r="F76" s="224"/>
      <c r="G76" s="225"/>
      <c r="K76" s="225"/>
      <c r="L76" s="225"/>
    </row>
    <row r="77" spans="1:12" ht="13.9" x14ac:dyDescent="0.4">
      <c r="A77" s="296"/>
      <c r="B77" s="224"/>
      <c r="C77" s="224"/>
      <c r="D77" s="224"/>
      <c r="E77" s="224"/>
      <c r="F77" s="224"/>
      <c r="G77" s="225"/>
      <c r="K77" s="225"/>
      <c r="L77" s="225"/>
    </row>
    <row r="78" spans="1:12" ht="13.9" x14ac:dyDescent="0.4">
      <c r="A78" s="296"/>
      <c r="B78" s="224"/>
      <c r="C78" s="224"/>
      <c r="D78" s="224"/>
      <c r="E78" s="224"/>
      <c r="F78" s="224"/>
      <c r="G78" s="225"/>
      <c r="J78" s="225"/>
      <c r="K78" s="225"/>
      <c r="L78" s="225"/>
    </row>
    <row r="79" spans="1:12" ht="13.9" x14ac:dyDescent="0.4">
      <c r="A79" s="296"/>
      <c r="B79" s="224"/>
      <c r="C79" s="224"/>
      <c r="D79" s="224"/>
      <c r="E79" s="224"/>
      <c r="F79" s="224"/>
      <c r="G79" s="225"/>
      <c r="J79" s="225"/>
    </row>
    <row r="80" spans="1:12" s="225" customFormat="1" ht="13.9" x14ac:dyDescent="0.4">
      <c r="A80" s="296"/>
      <c r="B80" s="224"/>
      <c r="C80" s="224"/>
      <c r="D80" s="224"/>
      <c r="E80" s="224"/>
      <c r="F80" s="224"/>
      <c r="G80" s="224"/>
      <c r="H80" s="224"/>
      <c r="I80" s="224"/>
      <c r="K80" s="224"/>
      <c r="L80" s="224"/>
    </row>
    <row r="81" spans="1:12" s="225" customFormat="1" ht="13.9" x14ac:dyDescent="0.4">
      <c r="A81" s="296"/>
      <c r="B81" s="224"/>
      <c r="C81" s="224"/>
      <c r="D81" s="224"/>
      <c r="E81" s="224"/>
      <c r="F81" s="224"/>
      <c r="G81" s="224"/>
      <c r="H81" s="224"/>
      <c r="I81" s="224"/>
      <c r="K81" s="224"/>
      <c r="L81" s="224"/>
    </row>
    <row r="82" spans="1:12" s="225" customFormat="1" ht="13.9" x14ac:dyDescent="0.4">
      <c r="A82" s="296"/>
      <c r="B82" s="224"/>
      <c r="C82" s="224"/>
      <c r="D82" s="224"/>
      <c r="E82" s="224"/>
      <c r="F82" s="224"/>
      <c r="G82" s="224"/>
      <c r="H82" s="224"/>
      <c r="I82" s="224"/>
    </row>
    <row r="83" spans="1:12" s="225" customFormat="1" ht="13.9" x14ac:dyDescent="0.4">
      <c r="A83" s="296"/>
      <c r="B83" s="224"/>
      <c r="C83" s="224"/>
      <c r="D83" s="224"/>
      <c r="E83" s="224"/>
      <c r="F83" s="224"/>
      <c r="G83" s="224"/>
      <c r="H83" s="224"/>
      <c r="I83" s="224"/>
    </row>
    <row r="84" spans="1:12" s="225" customFormat="1" ht="13.9" x14ac:dyDescent="0.4">
      <c r="A84" s="296"/>
      <c r="B84" s="224"/>
      <c r="C84" s="224"/>
      <c r="D84" s="224"/>
      <c r="E84" s="224"/>
      <c r="F84" s="224"/>
      <c r="G84" s="224"/>
      <c r="H84" s="224"/>
      <c r="I84" s="224"/>
      <c r="J84" s="224"/>
    </row>
    <row r="85" spans="1:12" ht="13.9" x14ac:dyDescent="0.4">
      <c r="A85" s="296"/>
      <c r="B85" s="224"/>
      <c r="C85" s="224"/>
      <c r="D85" s="224"/>
      <c r="E85" s="224"/>
      <c r="F85" s="224"/>
      <c r="K85" s="225"/>
      <c r="L85" s="225"/>
    </row>
    <row r="86" spans="1:12" x14ac:dyDescent="0.35">
      <c r="A86" s="296"/>
      <c r="B86" s="224"/>
      <c r="C86" s="224"/>
      <c r="D86" s="224"/>
      <c r="E86" s="224"/>
      <c r="F86" s="224"/>
    </row>
    <row r="87" spans="1:12" x14ac:dyDescent="0.35">
      <c r="A87" s="296"/>
      <c r="B87" s="224"/>
      <c r="C87" s="224"/>
      <c r="D87" s="224"/>
      <c r="E87" s="224"/>
      <c r="F87" s="224"/>
    </row>
    <row r="88" spans="1:12" s="225" customFormat="1" ht="13.9" x14ac:dyDescent="0.4">
      <c r="A88" s="296"/>
      <c r="B88" s="224"/>
      <c r="C88" s="224"/>
      <c r="D88" s="224"/>
      <c r="E88" s="224"/>
      <c r="F88" s="224"/>
      <c r="G88" s="224"/>
      <c r="H88" s="224"/>
      <c r="I88" s="224"/>
      <c r="J88" s="224"/>
      <c r="K88" s="224"/>
      <c r="L88" s="224"/>
    </row>
    <row r="89" spans="1:12" s="225" customFormat="1" ht="13.9" x14ac:dyDescent="0.4">
      <c r="A89" s="296"/>
      <c r="B89" s="224"/>
      <c r="C89" s="224"/>
      <c r="D89" s="224"/>
      <c r="E89" s="224"/>
      <c r="F89" s="224"/>
      <c r="G89" s="224"/>
      <c r="H89" s="224"/>
      <c r="I89" s="224"/>
      <c r="J89" s="224"/>
      <c r="K89" s="224"/>
      <c r="L89" s="224"/>
    </row>
    <row r="90" spans="1:12" s="225" customFormat="1" ht="13.9" x14ac:dyDescent="0.4">
      <c r="A90" s="223"/>
      <c r="B90" s="223"/>
      <c r="C90" s="223"/>
      <c r="D90" s="223"/>
      <c r="E90" s="223"/>
      <c r="F90" s="223"/>
      <c r="G90" s="224"/>
      <c r="H90" s="224"/>
      <c r="I90" s="224"/>
      <c r="J90" s="224"/>
      <c r="K90" s="224"/>
      <c r="L90" s="224"/>
    </row>
    <row r="91" spans="1:12" s="225" customFormat="1" ht="13.9" x14ac:dyDescent="0.4">
      <c r="A91" s="223"/>
      <c r="B91" s="223"/>
      <c r="C91" s="223"/>
      <c r="D91" s="223"/>
      <c r="E91" s="223"/>
      <c r="F91" s="223"/>
      <c r="G91" s="224"/>
      <c r="H91" s="224"/>
      <c r="I91" s="224"/>
      <c r="J91" s="224"/>
      <c r="K91" s="224"/>
      <c r="L91" s="224"/>
    </row>
    <row r="92" spans="1:12" ht="13.9" x14ac:dyDescent="0.4">
      <c r="G92" s="225"/>
    </row>
    <row r="93" spans="1:12" ht="13.9" x14ac:dyDescent="0.4">
      <c r="G93" s="225"/>
    </row>
    <row r="94" spans="1:12" s="225" customFormat="1" ht="13.9" x14ac:dyDescent="0.4">
      <c r="A94" s="223"/>
      <c r="B94" s="223"/>
      <c r="C94" s="223"/>
      <c r="D94" s="223"/>
      <c r="E94" s="223"/>
      <c r="F94" s="223"/>
      <c r="G94" s="224"/>
      <c r="H94" s="224"/>
      <c r="I94" s="224"/>
    </row>
    <row r="95" spans="1:12" s="225" customFormat="1" ht="13.9" x14ac:dyDescent="0.4">
      <c r="A95" s="223"/>
      <c r="B95" s="223"/>
      <c r="C95" s="223"/>
      <c r="D95" s="223"/>
      <c r="E95" s="223"/>
      <c r="F95" s="223"/>
      <c r="G95" s="224"/>
      <c r="H95" s="224"/>
      <c r="I95" s="224"/>
    </row>
    <row r="96" spans="1:12" s="225" customFormat="1" ht="13.9" x14ac:dyDescent="0.4">
      <c r="A96" s="223"/>
      <c r="B96" s="223"/>
      <c r="C96" s="223"/>
      <c r="D96" s="223"/>
      <c r="E96" s="223"/>
      <c r="F96" s="223"/>
      <c r="G96" s="224"/>
      <c r="H96" s="224"/>
      <c r="I96" s="224"/>
    </row>
    <row r="102" spans="1:10" s="225" customFormat="1" ht="13.9" x14ac:dyDescent="0.4">
      <c r="A102" s="223"/>
      <c r="B102" s="223"/>
      <c r="C102" s="223"/>
      <c r="D102" s="223"/>
      <c r="E102" s="223"/>
      <c r="F102" s="223"/>
      <c r="G102" s="224"/>
      <c r="H102" s="224"/>
      <c r="I102" s="224"/>
    </row>
    <row r="103" spans="1:10" s="225" customFormat="1" ht="13.9" x14ac:dyDescent="0.4">
      <c r="A103" s="223"/>
      <c r="B103" s="223"/>
      <c r="C103" s="223"/>
      <c r="D103" s="223"/>
      <c r="E103" s="223"/>
      <c r="F103" s="223"/>
      <c r="G103" s="224"/>
      <c r="H103" s="224"/>
      <c r="I103" s="224"/>
    </row>
    <row r="104" spans="1:10" s="225" customFormat="1" ht="13.9" x14ac:dyDescent="0.4">
      <c r="A104" s="223"/>
      <c r="B104" s="223"/>
      <c r="C104" s="223"/>
      <c r="D104" s="223"/>
      <c r="E104" s="223"/>
      <c r="F104" s="223"/>
      <c r="G104" s="224"/>
      <c r="H104" s="224"/>
      <c r="I104" s="224"/>
    </row>
    <row r="105" spans="1:10" s="225" customFormat="1" ht="13.9" x14ac:dyDescent="0.4">
      <c r="A105" s="223"/>
      <c r="B105" s="223"/>
      <c r="C105" s="223"/>
      <c r="D105" s="223"/>
      <c r="E105" s="223"/>
      <c r="F105" s="223"/>
      <c r="G105" s="224"/>
      <c r="H105" s="224"/>
      <c r="I105" s="224"/>
    </row>
    <row r="106" spans="1:10" s="225" customFormat="1" ht="13.9" x14ac:dyDescent="0.4">
      <c r="A106" s="223"/>
      <c r="B106" s="223"/>
      <c r="C106" s="223"/>
      <c r="D106" s="223"/>
      <c r="E106" s="223"/>
      <c r="F106" s="223"/>
      <c r="H106" s="224"/>
      <c r="I106" s="224"/>
    </row>
    <row r="107" spans="1:10" ht="13.9" x14ac:dyDescent="0.4">
      <c r="G107" s="225"/>
      <c r="J107" s="225"/>
    </row>
    <row r="108" spans="1:10" ht="13.9" x14ac:dyDescent="0.4">
      <c r="G108" s="225"/>
      <c r="J108" s="225"/>
    </row>
    <row r="109" spans="1:10" ht="13.9" x14ac:dyDescent="0.4">
      <c r="J109" s="225"/>
    </row>
    <row r="110" spans="1:10" s="225" customFormat="1" ht="13.9" x14ac:dyDescent="0.4">
      <c r="A110" s="223"/>
      <c r="B110" s="223"/>
      <c r="C110" s="223"/>
      <c r="D110" s="223"/>
      <c r="E110" s="223"/>
      <c r="F110" s="223"/>
      <c r="G110" s="224"/>
      <c r="H110" s="224"/>
      <c r="I110" s="224"/>
    </row>
    <row r="111" spans="1:10" s="225" customFormat="1" ht="13.9" x14ac:dyDescent="0.4">
      <c r="A111" s="223"/>
      <c r="B111" s="223"/>
      <c r="C111" s="223"/>
      <c r="D111" s="223"/>
      <c r="E111" s="223"/>
      <c r="F111" s="223"/>
      <c r="G111" s="224"/>
      <c r="H111" s="224"/>
      <c r="I111" s="224"/>
      <c r="J111" s="224"/>
    </row>
    <row r="112" spans="1:10" s="225" customFormat="1" ht="13.9" x14ac:dyDescent="0.4">
      <c r="A112" s="223"/>
      <c r="B112" s="223"/>
      <c r="C112" s="223"/>
      <c r="D112" s="223"/>
      <c r="E112" s="223"/>
      <c r="F112" s="223"/>
      <c r="G112" s="224"/>
      <c r="H112" s="224"/>
      <c r="I112" s="224"/>
      <c r="J112" s="224"/>
    </row>
    <row r="116" spans="1:12" s="225" customFormat="1" ht="13.9" x14ac:dyDescent="0.4">
      <c r="A116" s="223"/>
      <c r="B116" s="223"/>
      <c r="C116" s="223"/>
      <c r="D116" s="223"/>
      <c r="E116" s="223"/>
      <c r="F116" s="223"/>
      <c r="G116" s="224"/>
      <c r="H116" s="224"/>
      <c r="I116" s="224"/>
    </row>
    <row r="117" spans="1:12" s="225" customFormat="1" ht="13.9" x14ac:dyDescent="0.4">
      <c r="A117" s="223"/>
      <c r="B117" s="223"/>
      <c r="C117" s="223"/>
      <c r="D117" s="223"/>
      <c r="E117" s="223"/>
      <c r="F117" s="223"/>
      <c r="G117" s="224"/>
      <c r="H117" s="224"/>
      <c r="I117" s="224"/>
    </row>
    <row r="118" spans="1:12" s="225" customFormat="1" ht="13.9" x14ac:dyDescent="0.4">
      <c r="A118" s="223"/>
      <c r="B118" s="223"/>
      <c r="C118" s="223"/>
      <c r="D118" s="223"/>
      <c r="E118" s="223"/>
      <c r="F118" s="223"/>
      <c r="H118" s="224"/>
      <c r="I118" s="224"/>
    </row>
    <row r="119" spans="1:12" ht="13.9" x14ac:dyDescent="0.4">
      <c r="G119" s="225"/>
    </row>
    <row r="120" spans="1:12" ht="13.9" x14ac:dyDescent="0.4">
      <c r="G120" s="225"/>
    </row>
    <row r="122" spans="1:12" ht="13.9" x14ac:dyDescent="0.4">
      <c r="H122" s="225"/>
      <c r="I122" s="225"/>
      <c r="J122" s="225"/>
      <c r="K122" s="225"/>
      <c r="L122" s="225"/>
    </row>
    <row r="123" spans="1:12" s="225" customFormat="1" ht="13.9" x14ac:dyDescent="0.4">
      <c r="A123" s="223"/>
      <c r="B123" s="223"/>
      <c r="C123" s="223"/>
      <c r="D123" s="223"/>
      <c r="E123" s="223"/>
      <c r="F123" s="223"/>
      <c r="G123" s="224"/>
      <c r="J123" s="224"/>
    </row>
    <row r="124" spans="1:12" s="225" customFormat="1" ht="13.9" x14ac:dyDescent="0.4">
      <c r="A124" s="223"/>
      <c r="B124" s="223"/>
      <c r="C124" s="223"/>
      <c r="D124" s="223"/>
      <c r="E124" s="223"/>
      <c r="F124" s="223"/>
      <c r="G124" s="224"/>
      <c r="J124" s="224"/>
    </row>
    <row r="125" spans="1:12" s="225" customFormat="1" ht="13.9" x14ac:dyDescent="0.4">
      <c r="A125" s="223"/>
      <c r="B125" s="223"/>
      <c r="C125" s="223"/>
      <c r="D125" s="223"/>
      <c r="E125" s="223"/>
      <c r="F125" s="223"/>
      <c r="G125" s="224"/>
      <c r="H125" s="224"/>
      <c r="I125" s="224"/>
      <c r="J125" s="224"/>
    </row>
    <row r="126" spans="1:12" s="225" customFormat="1" ht="13.9" x14ac:dyDescent="0.4">
      <c r="A126" s="223"/>
      <c r="B126" s="223"/>
      <c r="C126" s="223"/>
      <c r="D126" s="223"/>
      <c r="E126" s="223"/>
      <c r="F126" s="223"/>
      <c r="G126" s="224"/>
      <c r="H126" s="224"/>
      <c r="I126" s="224"/>
      <c r="J126" s="224"/>
    </row>
    <row r="127" spans="1:12" s="225" customFormat="1" ht="13.9" x14ac:dyDescent="0.4">
      <c r="A127" s="223"/>
      <c r="B127" s="223"/>
      <c r="C127" s="223"/>
      <c r="D127" s="223"/>
      <c r="E127" s="223"/>
      <c r="F127" s="223"/>
      <c r="G127" s="224"/>
      <c r="H127" s="224"/>
      <c r="I127" s="224"/>
    </row>
    <row r="128" spans="1:12" s="225" customFormat="1" ht="13.9" x14ac:dyDescent="0.4">
      <c r="A128" s="223"/>
      <c r="B128" s="223"/>
      <c r="C128" s="223"/>
      <c r="D128" s="223"/>
      <c r="E128" s="223"/>
      <c r="F128" s="223"/>
      <c r="G128" s="224"/>
      <c r="H128" s="224"/>
      <c r="I128" s="224"/>
    </row>
    <row r="129" spans="1:10" s="225" customFormat="1" ht="13.9" x14ac:dyDescent="0.4">
      <c r="A129" s="223"/>
      <c r="B129" s="223"/>
      <c r="C129" s="223"/>
      <c r="D129" s="223"/>
      <c r="E129" s="223"/>
      <c r="F129" s="223"/>
      <c r="G129" s="224"/>
      <c r="H129" s="224"/>
      <c r="I129" s="224"/>
    </row>
    <row r="134" spans="1:10" s="225" customFormat="1" ht="13.9" x14ac:dyDescent="0.4">
      <c r="A134" s="223"/>
      <c r="B134" s="223"/>
      <c r="C134" s="223"/>
      <c r="D134" s="223"/>
      <c r="E134" s="223"/>
      <c r="F134" s="223"/>
      <c r="G134" s="224"/>
      <c r="H134" s="224"/>
      <c r="I134" s="224"/>
    </row>
    <row r="135" spans="1:10" s="225" customFormat="1" ht="13.9" x14ac:dyDescent="0.4">
      <c r="A135" s="223"/>
      <c r="B135" s="223"/>
      <c r="C135" s="223"/>
      <c r="D135" s="223"/>
      <c r="E135" s="223"/>
      <c r="F135" s="223"/>
      <c r="G135" s="224"/>
      <c r="H135" s="224"/>
      <c r="I135" s="224"/>
    </row>
    <row r="136" spans="1:10" s="225" customFormat="1" ht="13.9" x14ac:dyDescent="0.4">
      <c r="A136" s="223"/>
      <c r="B136" s="223"/>
      <c r="C136" s="223"/>
      <c r="D136" s="223"/>
      <c r="E136" s="223"/>
      <c r="F136" s="223"/>
      <c r="G136" s="224"/>
      <c r="H136" s="224"/>
      <c r="I136" s="224"/>
    </row>
    <row r="137" spans="1:10" ht="13.9" x14ac:dyDescent="0.4">
      <c r="J137" s="225"/>
    </row>
    <row r="147" spans="1:12" s="225" customFormat="1" ht="13.9" x14ac:dyDescent="0.4">
      <c r="A147" s="223"/>
      <c r="B147" s="223"/>
      <c r="C147" s="223"/>
      <c r="D147" s="223"/>
      <c r="E147" s="223"/>
      <c r="F147" s="223"/>
      <c r="G147" s="224"/>
      <c r="H147" s="224"/>
      <c r="I147" s="224"/>
      <c r="J147" s="224"/>
    </row>
    <row r="148" spans="1:12" s="225" customFormat="1" ht="13.9" x14ac:dyDescent="0.4">
      <c r="A148" s="223"/>
      <c r="B148" s="223"/>
      <c r="C148" s="223"/>
      <c r="D148" s="223"/>
      <c r="E148" s="223"/>
      <c r="F148" s="223"/>
      <c r="G148" s="224"/>
      <c r="H148" s="224"/>
      <c r="I148" s="224"/>
      <c r="J148" s="224"/>
    </row>
    <row r="149" spans="1:12" s="225" customFormat="1" ht="13.9" x14ac:dyDescent="0.4">
      <c r="A149" s="223"/>
      <c r="B149" s="223"/>
      <c r="C149" s="223"/>
      <c r="D149" s="223"/>
      <c r="E149" s="223"/>
      <c r="F149" s="223"/>
      <c r="G149" s="224"/>
      <c r="H149" s="224"/>
      <c r="I149" s="224"/>
      <c r="J149" s="224"/>
    </row>
    <row r="150" spans="1:12" s="225" customFormat="1" ht="13.9" x14ac:dyDescent="0.4">
      <c r="A150" s="223"/>
      <c r="B150" s="223"/>
      <c r="C150" s="223"/>
      <c r="D150" s="223"/>
      <c r="E150" s="223"/>
      <c r="F150" s="223"/>
      <c r="G150" s="224"/>
      <c r="H150" s="224"/>
      <c r="I150" s="224"/>
    </row>
    <row r="151" spans="1:12" s="225" customFormat="1" ht="13.9" x14ac:dyDescent="0.4">
      <c r="A151" s="223"/>
      <c r="B151" s="223"/>
      <c r="C151" s="223"/>
      <c r="D151" s="223"/>
      <c r="E151" s="223"/>
      <c r="F151" s="223"/>
      <c r="G151" s="224"/>
      <c r="H151" s="224"/>
      <c r="I151" s="224"/>
    </row>
    <row r="152" spans="1:12" s="225" customFormat="1" ht="13.9" x14ac:dyDescent="0.4">
      <c r="A152" s="223"/>
      <c r="B152" s="223"/>
      <c r="C152" s="223"/>
      <c r="D152" s="223"/>
      <c r="E152" s="223"/>
      <c r="F152" s="223"/>
      <c r="G152" s="224"/>
      <c r="H152" s="224"/>
      <c r="I152" s="224"/>
    </row>
    <row r="153" spans="1:12" s="225" customFormat="1" ht="13.9" x14ac:dyDescent="0.4">
      <c r="A153" s="223"/>
      <c r="B153" s="223"/>
      <c r="C153" s="223"/>
      <c r="D153" s="223"/>
      <c r="E153" s="223"/>
      <c r="F153" s="223"/>
      <c r="G153" s="224"/>
      <c r="H153" s="224"/>
      <c r="I153" s="224"/>
    </row>
    <row r="154" spans="1:12" s="225" customFormat="1" ht="13.9" x14ac:dyDescent="0.4">
      <c r="A154" s="223"/>
      <c r="B154" s="223"/>
      <c r="C154" s="223"/>
      <c r="D154" s="223"/>
      <c r="E154" s="223"/>
      <c r="F154" s="223"/>
      <c r="G154" s="224"/>
      <c r="H154" s="224"/>
      <c r="I154" s="224"/>
    </row>
    <row r="155" spans="1:12" s="225" customFormat="1" ht="13.9" x14ac:dyDescent="0.4">
      <c r="A155" s="223"/>
      <c r="B155" s="223"/>
      <c r="C155" s="223"/>
      <c r="D155" s="223"/>
      <c r="E155" s="223"/>
      <c r="F155" s="223"/>
      <c r="G155" s="224"/>
    </row>
    <row r="156" spans="1:12" s="225" customFormat="1" ht="13.9" x14ac:dyDescent="0.4">
      <c r="A156" s="223"/>
      <c r="B156" s="223"/>
      <c r="C156" s="223"/>
      <c r="D156" s="223"/>
      <c r="E156" s="223"/>
      <c r="F156" s="223"/>
      <c r="G156" s="224"/>
    </row>
    <row r="157" spans="1:12" s="225" customFormat="1" ht="13.9" x14ac:dyDescent="0.4">
      <c r="A157" s="223"/>
      <c r="B157" s="223"/>
      <c r="C157" s="223"/>
      <c r="D157" s="223"/>
      <c r="E157" s="223"/>
      <c r="F157" s="223"/>
      <c r="G157" s="224"/>
    </row>
    <row r="158" spans="1:12" ht="13.9" x14ac:dyDescent="0.4">
      <c r="K158" s="225"/>
      <c r="L158" s="225"/>
    </row>
    <row r="159" spans="1:12" ht="13.9" x14ac:dyDescent="0.4">
      <c r="K159" s="225"/>
      <c r="L159" s="225"/>
    </row>
    <row r="160" spans="1:12" ht="13.9" x14ac:dyDescent="0.4">
      <c r="G160" s="225"/>
      <c r="K160" s="225"/>
      <c r="L160" s="225"/>
    </row>
    <row r="161" spans="1:12" ht="13.9" x14ac:dyDescent="0.4">
      <c r="G161" s="225"/>
      <c r="J161" s="225"/>
    </row>
    <row r="162" spans="1:12" s="225" customFormat="1" ht="13.9" x14ac:dyDescent="0.4">
      <c r="A162" s="223"/>
      <c r="B162" s="223"/>
      <c r="C162" s="223"/>
      <c r="D162" s="223"/>
      <c r="E162" s="223"/>
      <c r="F162" s="223"/>
      <c r="H162" s="224"/>
      <c r="I162" s="224"/>
    </row>
    <row r="163" spans="1:12" s="225" customFormat="1" ht="13.9" x14ac:dyDescent="0.4">
      <c r="A163" s="223"/>
      <c r="B163" s="223"/>
      <c r="C163" s="223"/>
      <c r="D163" s="223"/>
      <c r="E163" s="223"/>
      <c r="F163" s="223"/>
      <c r="G163" s="224"/>
      <c r="H163" s="224"/>
      <c r="I163" s="224"/>
    </row>
    <row r="164" spans="1:12" s="225" customFormat="1" ht="13.9" x14ac:dyDescent="0.4">
      <c r="A164" s="223"/>
      <c r="B164" s="223"/>
      <c r="C164" s="223"/>
      <c r="D164" s="223"/>
      <c r="E164" s="223"/>
      <c r="F164" s="223"/>
      <c r="G164" s="224"/>
      <c r="H164" s="224"/>
      <c r="I164" s="224"/>
    </row>
    <row r="165" spans="1:12" s="225" customFormat="1" ht="13.9" x14ac:dyDescent="0.4">
      <c r="A165" s="223"/>
      <c r="B165" s="223"/>
      <c r="C165" s="223"/>
      <c r="D165" s="223"/>
      <c r="E165" s="223"/>
      <c r="F165" s="223"/>
      <c r="G165" s="224"/>
      <c r="H165" s="224"/>
      <c r="I165" s="224"/>
      <c r="J165" s="224"/>
      <c r="K165" s="224"/>
      <c r="L165" s="224"/>
    </row>
    <row r="166" spans="1:12" s="225" customFormat="1" ht="13.9" x14ac:dyDescent="0.4">
      <c r="A166" s="223"/>
      <c r="B166" s="223"/>
      <c r="C166" s="223"/>
      <c r="D166" s="223"/>
      <c r="E166" s="223"/>
      <c r="F166" s="223"/>
      <c r="G166" s="224"/>
      <c r="H166" s="224"/>
      <c r="I166" s="224"/>
      <c r="J166" s="224"/>
      <c r="K166" s="224"/>
      <c r="L166" s="224"/>
    </row>
    <row r="170" spans="1:12" s="225" customFormat="1" ht="13.9" x14ac:dyDescent="0.4">
      <c r="A170" s="223"/>
      <c r="B170" s="223"/>
      <c r="C170" s="223"/>
      <c r="D170" s="223"/>
      <c r="E170" s="223"/>
      <c r="F170" s="223"/>
      <c r="G170" s="224"/>
      <c r="H170" s="224"/>
      <c r="I170" s="224"/>
    </row>
    <row r="171" spans="1:12" s="225" customFormat="1" ht="13.9" x14ac:dyDescent="0.4">
      <c r="A171" s="223"/>
      <c r="B171" s="223"/>
      <c r="C171" s="223"/>
      <c r="D171" s="223"/>
      <c r="E171" s="223"/>
      <c r="F171" s="223"/>
      <c r="G171" s="224"/>
      <c r="H171" s="224"/>
      <c r="I171" s="224"/>
    </row>
    <row r="172" spans="1:12" s="225" customFormat="1" ht="13.9" x14ac:dyDescent="0.4">
      <c r="A172" s="223"/>
      <c r="B172" s="223"/>
      <c r="C172" s="223"/>
      <c r="D172" s="223"/>
      <c r="E172" s="223"/>
      <c r="F172" s="223"/>
      <c r="G172" s="224"/>
      <c r="H172" s="224"/>
      <c r="I172" s="224"/>
    </row>
    <row r="173" spans="1:12" s="225" customFormat="1" ht="13.9" x14ac:dyDescent="0.4">
      <c r="A173" s="223"/>
      <c r="B173" s="223"/>
      <c r="C173" s="223"/>
      <c r="D173" s="223"/>
      <c r="E173" s="223"/>
      <c r="F173" s="223"/>
      <c r="G173" s="224"/>
      <c r="H173" s="224"/>
      <c r="I173" s="224"/>
      <c r="J173" s="224"/>
    </row>
    <row r="174" spans="1:12" s="225" customFormat="1" ht="13.9" x14ac:dyDescent="0.4">
      <c r="A174" s="223"/>
      <c r="B174" s="223"/>
      <c r="C174" s="223"/>
      <c r="D174" s="223"/>
      <c r="E174" s="223"/>
      <c r="F174" s="223"/>
      <c r="G174" s="224"/>
      <c r="H174" s="224"/>
      <c r="I174" s="224"/>
      <c r="J174" s="224"/>
    </row>
    <row r="175" spans="1:12" ht="13.9" x14ac:dyDescent="0.4">
      <c r="K175" s="225"/>
      <c r="L175" s="225"/>
    </row>
    <row r="177" spans="1:12" s="225" customFormat="1" ht="13.9" x14ac:dyDescent="0.4">
      <c r="A177" s="223"/>
      <c r="B177" s="223"/>
      <c r="C177" s="223"/>
      <c r="D177" s="223"/>
      <c r="E177" s="223"/>
      <c r="F177" s="223"/>
      <c r="G177" s="224"/>
      <c r="H177" s="224"/>
      <c r="I177" s="224"/>
      <c r="K177" s="224"/>
      <c r="L177" s="224"/>
    </row>
    <row r="178" spans="1:12" s="225" customFormat="1" ht="13.9" x14ac:dyDescent="0.4">
      <c r="A178" s="223"/>
      <c r="B178" s="223"/>
      <c r="C178" s="223"/>
      <c r="D178" s="223"/>
      <c r="E178" s="223"/>
      <c r="F178" s="223"/>
      <c r="G178" s="224"/>
      <c r="H178" s="224"/>
      <c r="I178" s="224"/>
      <c r="K178" s="224"/>
      <c r="L178" s="224"/>
    </row>
    <row r="179" spans="1:12" s="225" customFormat="1" ht="13.9" x14ac:dyDescent="0.4">
      <c r="A179" s="223"/>
      <c r="B179" s="223"/>
      <c r="C179" s="223"/>
      <c r="D179" s="223"/>
      <c r="E179" s="223"/>
      <c r="F179" s="223"/>
      <c r="G179" s="224"/>
    </row>
    <row r="180" spans="1:12" s="225" customFormat="1" ht="13.9" x14ac:dyDescent="0.4">
      <c r="A180" s="223"/>
      <c r="B180" s="223"/>
      <c r="C180" s="223"/>
      <c r="D180" s="223"/>
      <c r="E180" s="223"/>
      <c r="F180" s="223"/>
      <c r="G180" s="224"/>
    </row>
    <row r="181" spans="1:12" s="225" customFormat="1" ht="13.9" x14ac:dyDescent="0.4">
      <c r="A181" s="223"/>
      <c r="B181" s="223"/>
      <c r="C181" s="223"/>
      <c r="D181" s="223"/>
      <c r="E181" s="223"/>
      <c r="F181" s="223"/>
      <c r="G181" s="224"/>
    </row>
    <row r="182" spans="1:12" ht="13.9" x14ac:dyDescent="0.4">
      <c r="J182" s="225"/>
    </row>
    <row r="185" spans="1:12" ht="13.9" x14ac:dyDescent="0.4">
      <c r="G185" s="225"/>
    </row>
    <row r="186" spans="1:12" ht="13.9" x14ac:dyDescent="0.4">
      <c r="G186" s="225"/>
    </row>
    <row r="187" spans="1:12" ht="13.9" x14ac:dyDescent="0.4">
      <c r="G187" s="225"/>
    </row>
    <row r="188" spans="1:12" ht="13.9" x14ac:dyDescent="0.4">
      <c r="K188" s="225"/>
      <c r="L188" s="225"/>
    </row>
    <row r="189" spans="1:12" s="225" customFormat="1" ht="13.9" x14ac:dyDescent="0.4">
      <c r="A189" s="223"/>
      <c r="B189" s="223"/>
      <c r="C189" s="223"/>
      <c r="D189" s="223"/>
      <c r="E189" s="223"/>
      <c r="F189" s="223"/>
      <c r="G189" s="224"/>
      <c r="H189" s="224"/>
      <c r="I189" s="224"/>
    </row>
    <row r="190" spans="1:12" s="225" customFormat="1" ht="13.9" x14ac:dyDescent="0.4">
      <c r="A190" s="223"/>
      <c r="B190" s="223"/>
      <c r="C190" s="223"/>
      <c r="D190" s="223"/>
      <c r="E190" s="223"/>
      <c r="F190" s="223"/>
      <c r="G190" s="224"/>
      <c r="H190" s="224"/>
      <c r="I190" s="224"/>
    </row>
    <row r="191" spans="1:12" s="225" customFormat="1" ht="13.9" x14ac:dyDescent="0.4">
      <c r="A191" s="223"/>
      <c r="B191" s="223"/>
      <c r="C191" s="223"/>
      <c r="D191" s="223"/>
      <c r="E191" s="223"/>
      <c r="F191" s="223"/>
      <c r="H191" s="224"/>
      <c r="I191" s="224"/>
    </row>
    <row r="192" spans="1:12" ht="13.9" x14ac:dyDescent="0.4">
      <c r="G192" s="225"/>
    </row>
    <row r="193" spans="1:12" ht="13.9" x14ac:dyDescent="0.4">
      <c r="G193" s="225"/>
    </row>
    <row r="194" spans="1:12" s="225" customFormat="1" ht="13.9" x14ac:dyDescent="0.4">
      <c r="A194" s="223"/>
      <c r="B194" s="223"/>
      <c r="C194" s="223"/>
      <c r="D194" s="223"/>
      <c r="E194" s="223"/>
      <c r="F194" s="223"/>
      <c r="G194" s="224"/>
      <c r="H194" s="224"/>
      <c r="I194" s="224"/>
      <c r="J194" s="224"/>
      <c r="K194" s="224"/>
      <c r="L194" s="224"/>
    </row>
    <row r="195" spans="1:12" s="225" customFormat="1" ht="13.9" x14ac:dyDescent="0.4">
      <c r="A195" s="223"/>
      <c r="B195" s="223"/>
      <c r="C195" s="223"/>
      <c r="D195" s="223"/>
      <c r="E195" s="223"/>
      <c r="F195" s="223"/>
      <c r="G195" s="224"/>
    </row>
    <row r="196" spans="1:12" s="225" customFormat="1" ht="13.9" x14ac:dyDescent="0.4">
      <c r="A196" s="223"/>
      <c r="B196" s="223"/>
      <c r="C196" s="223"/>
      <c r="D196" s="223"/>
      <c r="E196" s="223"/>
      <c r="F196" s="223"/>
      <c r="G196" s="224"/>
    </row>
    <row r="197" spans="1:12" s="225" customFormat="1" ht="13.9" x14ac:dyDescent="0.4">
      <c r="A197" s="223"/>
      <c r="B197" s="223"/>
      <c r="C197" s="223"/>
      <c r="D197" s="223"/>
      <c r="E197" s="223"/>
      <c r="F197" s="223"/>
      <c r="G197" s="224"/>
    </row>
    <row r="203" spans="1:12" ht="13.9" x14ac:dyDescent="0.4">
      <c r="G203" s="225"/>
    </row>
    <row r="204" spans="1:12" s="225" customFormat="1" ht="13.9" x14ac:dyDescent="0.4">
      <c r="A204" s="223"/>
      <c r="B204" s="223"/>
      <c r="C204" s="223"/>
      <c r="D204" s="223"/>
      <c r="E204" s="223"/>
      <c r="F204" s="223"/>
    </row>
    <row r="205" spans="1:12" s="225" customFormat="1" ht="13.9" x14ac:dyDescent="0.4">
      <c r="A205" s="223"/>
      <c r="B205" s="223"/>
      <c r="C205" s="223"/>
      <c r="D205" s="223"/>
      <c r="E205" s="223"/>
      <c r="F205" s="223"/>
    </row>
    <row r="206" spans="1:12" s="225" customFormat="1" ht="13.9" x14ac:dyDescent="0.4">
      <c r="A206" s="223"/>
      <c r="B206" s="223"/>
      <c r="C206" s="223"/>
      <c r="D206" s="223"/>
      <c r="E206" s="223"/>
      <c r="F206" s="223"/>
      <c r="G206" s="224"/>
    </row>
    <row r="207" spans="1:12" s="225" customFormat="1" ht="13.9" x14ac:dyDescent="0.4">
      <c r="A207" s="223"/>
      <c r="B207" s="223"/>
      <c r="C207" s="223"/>
      <c r="D207" s="223"/>
      <c r="E207" s="223"/>
      <c r="F207" s="223"/>
      <c r="G207" s="224"/>
      <c r="H207" s="224"/>
      <c r="I207" s="224"/>
      <c r="J207" s="224"/>
    </row>
    <row r="208" spans="1:12" s="225" customFormat="1" ht="13.9" x14ac:dyDescent="0.4">
      <c r="A208" s="223"/>
      <c r="B208" s="223"/>
      <c r="C208" s="223"/>
      <c r="D208" s="223"/>
      <c r="E208" s="223"/>
      <c r="F208" s="223"/>
      <c r="G208" s="224"/>
      <c r="H208" s="224"/>
      <c r="I208" s="224"/>
    </row>
    <row r="209" spans="1:10" s="225" customFormat="1" ht="13.9" x14ac:dyDescent="0.4">
      <c r="A209" s="223"/>
      <c r="B209" s="223"/>
      <c r="C209" s="223"/>
      <c r="D209" s="223"/>
      <c r="E209" s="223"/>
      <c r="F209" s="223"/>
      <c r="G209" s="224"/>
      <c r="H209" s="224"/>
      <c r="I209" s="224"/>
    </row>
    <row r="210" spans="1:10" s="225" customFormat="1" ht="13.9" x14ac:dyDescent="0.4">
      <c r="A210" s="223"/>
      <c r="B210" s="223"/>
      <c r="C210" s="223"/>
      <c r="D210" s="223"/>
      <c r="E210" s="223"/>
      <c r="F210" s="223"/>
      <c r="G210" s="224"/>
      <c r="H210" s="224"/>
      <c r="I210" s="224"/>
    </row>
    <row r="211" spans="1:10" s="225" customFormat="1" ht="13.9" x14ac:dyDescent="0.4">
      <c r="A211" s="223"/>
      <c r="B211" s="223"/>
      <c r="C211" s="223"/>
      <c r="D211" s="223"/>
      <c r="E211" s="223"/>
      <c r="F211" s="223"/>
      <c r="H211" s="224"/>
      <c r="I211" s="224"/>
    </row>
    <row r="212" spans="1:10" s="225" customFormat="1" ht="13.9" x14ac:dyDescent="0.4">
      <c r="A212" s="223"/>
      <c r="B212" s="223"/>
      <c r="C212" s="223"/>
      <c r="D212" s="223"/>
      <c r="E212" s="223"/>
      <c r="F212" s="223"/>
      <c r="H212" s="224"/>
      <c r="I212" s="224"/>
    </row>
    <row r="213" spans="1:10" ht="13.9" x14ac:dyDescent="0.4">
      <c r="G213" s="225"/>
    </row>
    <row r="215" spans="1:10" ht="13.9" x14ac:dyDescent="0.4">
      <c r="H215" s="225"/>
      <c r="I215" s="225"/>
    </row>
    <row r="216" spans="1:10" ht="13.9" x14ac:dyDescent="0.4">
      <c r="H216" s="225"/>
      <c r="I216" s="225"/>
    </row>
    <row r="217" spans="1:10" ht="13.9" x14ac:dyDescent="0.4">
      <c r="H217" s="225"/>
      <c r="I217" s="225"/>
    </row>
    <row r="223" spans="1:10" s="225" customFormat="1" ht="13.9" x14ac:dyDescent="0.4">
      <c r="A223" s="223"/>
      <c r="B223" s="223"/>
      <c r="C223" s="223"/>
      <c r="D223" s="223"/>
      <c r="E223" s="223"/>
      <c r="F223" s="223"/>
      <c r="G223" s="224"/>
      <c r="H223" s="224"/>
      <c r="I223" s="224"/>
      <c r="J223" s="224"/>
    </row>
    <row r="224" spans="1:10" s="225" customFormat="1" ht="13.9" x14ac:dyDescent="0.4">
      <c r="A224" s="223"/>
      <c r="B224" s="223"/>
      <c r="C224" s="223"/>
      <c r="D224" s="223"/>
      <c r="E224" s="223"/>
      <c r="F224" s="223"/>
      <c r="G224" s="224"/>
      <c r="H224" s="224"/>
      <c r="I224" s="224"/>
      <c r="J224" s="224"/>
    </row>
    <row r="225" spans="1:10" s="225" customFormat="1" ht="19.5" customHeight="1" x14ac:dyDescent="0.4">
      <c r="A225" s="223"/>
      <c r="B225" s="223"/>
      <c r="C225" s="223"/>
      <c r="D225" s="223"/>
      <c r="E225" s="223"/>
      <c r="F225" s="223"/>
      <c r="G225" s="224"/>
      <c r="H225" s="224"/>
      <c r="I225" s="224"/>
      <c r="J225" s="224"/>
    </row>
    <row r="226" spans="1:10" s="225" customFormat="1" ht="13.9" x14ac:dyDescent="0.4">
      <c r="A226" s="223"/>
      <c r="B226" s="223"/>
      <c r="C226" s="223"/>
      <c r="D226" s="223"/>
      <c r="E226" s="223"/>
      <c r="F226" s="223"/>
      <c r="G226" s="224"/>
    </row>
    <row r="227" spans="1:10" s="225" customFormat="1" ht="13.9" x14ac:dyDescent="0.4">
      <c r="A227" s="223"/>
      <c r="B227" s="223"/>
      <c r="C227" s="223"/>
      <c r="D227" s="223"/>
      <c r="E227" s="223"/>
      <c r="F227" s="223"/>
      <c r="G227" s="224"/>
    </row>
    <row r="228" spans="1:10" s="225" customFormat="1" ht="13.9" x14ac:dyDescent="0.4">
      <c r="A228" s="223"/>
      <c r="B228" s="223"/>
      <c r="C228" s="223"/>
      <c r="D228" s="223"/>
      <c r="E228" s="223"/>
      <c r="F228" s="223"/>
      <c r="G228" s="224"/>
    </row>
    <row r="230" spans="1:10" s="225" customFormat="1" ht="13.9" x14ac:dyDescent="0.4">
      <c r="A230" s="223"/>
      <c r="B230" s="223"/>
      <c r="C230" s="223"/>
      <c r="D230" s="223"/>
      <c r="E230" s="223"/>
      <c r="F230" s="223"/>
      <c r="G230" s="224"/>
      <c r="H230" s="224"/>
      <c r="I230" s="224"/>
    </row>
    <row r="231" spans="1:10" s="225" customFormat="1" ht="13.9" x14ac:dyDescent="0.4">
      <c r="A231" s="223"/>
      <c r="B231" s="223"/>
      <c r="C231" s="223"/>
      <c r="D231" s="223"/>
      <c r="E231" s="223"/>
      <c r="F231" s="223"/>
      <c r="G231" s="224"/>
      <c r="H231" s="224"/>
      <c r="I231" s="224"/>
    </row>
    <row r="232" spans="1:10" s="225" customFormat="1" ht="13.9" x14ac:dyDescent="0.4">
      <c r="A232" s="223"/>
      <c r="B232" s="223"/>
      <c r="C232" s="223"/>
      <c r="D232" s="223"/>
      <c r="E232" s="223"/>
      <c r="F232" s="223"/>
      <c r="G232" s="224"/>
      <c r="H232" s="224"/>
      <c r="I232" s="224"/>
    </row>
    <row r="248" spans="10:10" ht="13.9" x14ac:dyDescent="0.4">
      <c r="J248" s="225"/>
    </row>
    <row r="249" spans="10:10" ht="13.9" x14ac:dyDescent="0.4">
      <c r="J249" s="225"/>
    </row>
    <row r="250" spans="10:10" ht="13.9" x14ac:dyDescent="0.4">
      <c r="J250" s="225"/>
    </row>
    <row r="257" spans="1:12" s="225" customFormat="1" ht="13.9" x14ac:dyDescent="0.4">
      <c r="A257" s="223"/>
      <c r="B257" s="223"/>
      <c r="C257" s="223"/>
      <c r="D257" s="223"/>
      <c r="E257" s="223"/>
      <c r="F257" s="223"/>
      <c r="G257" s="224"/>
      <c r="H257" s="224"/>
      <c r="I257" s="224"/>
    </row>
    <row r="258" spans="1:12" s="225" customFormat="1" ht="13.9" x14ac:dyDescent="0.4">
      <c r="A258" s="223"/>
      <c r="B258" s="223"/>
      <c r="C258" s="223"/>
      <c r="D258" s="223"/>
      <c r="E258" s="223"/>
      <c r="F258" s="223"/>
      <c r="G258" s="224"/>
      <c r="H258" s="224"/>
      <c r="I258" s="224"/>
    </row>
    <row r="259" spans="1:12" s="225" customFormat="1" ht="13.9" x14ac:dyDescent="0.4">
      <c r="A259" s="223"/>
      <c r="B259" s="223"/>
      <c r="C259" s="223"/>
      <c r="D259" s="223"/>
      <c r="E259" s="223"/>
      <c r="F259" s="223"/>
      <c r="G259" s="224"/>
      <c r="H259" s="224"/>
      <c r="I259" s="224"/>
    </row>
    <row r="264" spans="1:12" ht="13.9" x14ac:dyDescent="0.4">
      <c r="K264" s="225"/>
      <c r="L264" s="225"/>
    </row>
    <row r="265" spans="1:12" ht="13.9" x14ac:dyDescent="0.4">
      <c r="K265" s="225"/>
      <c r="L265" s="225"/>
    </row>
    <row r="266" spans="1:12" ht="13.9" x14ac:dyDescent="0.4">
      <c r="J266" s="225"/>
      <c r="K266" s="225"/>
      <c r="L266" s="225"/>
    </row>
    <row r="267" spans="1:12" ht="13.9" x14ac:dyDescent="0.4">
      <c r="J267" s="225"/>
      <c r="K267" s="225"/>
      <c r="L267" s="225"/>
    </row>
    <row r="268" spans="1:12" ht="13.9" x14ac:dyDescent="0.4">
      <c r="J268" s="225"/>
    </row>
    <row r="269" spans="1:12" s="225" customFormat="1" ht="13.9" x14ac:dyDescent="0.4">
      <c r="A269" s="223"/>
      <c r="B269" s="223"/>
      <c r="C269" s="223"/>
      <c r="D269" s="223"/>
      <c r="E269" s="223"/>
      <c r="F269" s="223"/>
      <c r="G269" s="224"/>
      <c r="H269" s="224"/>
      <c r="I269" s="224"/>
    </row>
    <row r="270" spans="1:12" s="225" customFormat="1" ht="13.9" x14ac:dyDescent="0.4">
      <c r="A270" s="223"/>
      <c r="B270" s="223"/>
      <c r="C270" s="223"/>
      <c r="D270" s="223"/>
      <c r="E270" s="223"/>
      <c r="F270" s="223"/>
      <c r="G270" s="224"/>
      <c r="H270" s="224"/>
      <c r="I270" s="224"/>
    </row>
    <row r="271" spans="1:12" s="225" customFormat="1" ht="13.9" x14ac:dyDescent="0.4">
      <c r="A271" s="223"/>
      <c r="B271" s="223"/>
      <c r="C271" s="223"/>
      <c r="D271" s="223"/>
      <c r="E271" s="223"/>
      <c r="F271" s="223"/>
      <c r="G271" s="224"/>
      <c r="H271" s="224"/>
      <c r="I271" s="224"/>
    </row>
    <row r="272" spans="1:12" s="225" customFormat="1" ht="13.9" x14ac:dyDescent="0.4">
      <c r="A272" s="223"/>
      <c r="B272" s="223"/>
      <c r="C272" s="223"/>
      <c r="D272" s="223"/>
      <c r="E272" s="223"/>
      <c r="F272" s="223"/>
      <c r="G272" s="224"/>
      <c r="H272" s="224"/>
      <c r="I272" s="224"/>
      <c r="J272" s="224"/>
      <c r="K272" s="224"/>
      <c r="L272" s="224"/>
    </row>
    <row r="279" spans="10:10" ht="13.9" x14ac:dyDescent="0.4">
      <c r="J279" s="225"/>
    </row>
    <row r="280" spans="10:10" ht="13.9" x14ac:dyDescent="0.4">
      <c r="J280" s="225"/>
    </row>
    <row r="281" spans="10:10" ht="13.9" x14ac:dyDescent="0.4">
      <c r="J281" s="225"/>
    </row>
    <row r="282" spans="10:10" ht="13.9" x14ac:dyDescent="0.4">
      <c r="J282" s="225"/>
    </row>
    <row r="284" spans="10:10" ht="13.9" x14ac:dyDescent="0.4">
      <c r="J284" s="225"/>
    </row>
    <row r="285" spans="10:10" ht="13.9" x14ac:dyDescent="0.4">
      <c r="J285" s="225"/>
    </row>
    <row r="287" spans="10:10" ht="13.9" x14ac:dyDescent="0.4">
      <c r="J287" s="225"/>
    </row>
    <row r="288" spans="10:10" ht="13.9" x14ac:dyDescent="0.4">
      <c r="J288" s="225"/>
    </row>
    <row r="289" spans="1:10" ht="13.9" x14ac:dyDescent="0.4">
      <c r="J289" s="225"/>
    </row>
    <row r="293" spans="1:10" s="225" customFormat="1" ht="13.9" x14ac:dyDescent="0.4">
      <c r="A293" s="223"/>
      <c r="B293" s="223"/>
      <c r="C293" s="223"/>
      <c r="D293" s="223"/>
      <c r="E293" s="223"/>
      <c r="F293" s="223"/>
      <c r="G293" s="224"/>
      <c r="H293" s="224"/>
      <c r="I293" s="224"/>
      <c r="J293" s="224"/>
    </row>
    <row r="294" spans="1:10" s="225" customFormat="1" ht="13.9" x14ac:dyDescent="0.4">
      <c r="A294" s="223"/>
      <c r="B294" s="223"/>
      <c r="C294" s="223"/>
      <c r="D294" s="223"/>
      <c r="E294" s="223"/>
      <c r="F294" s="223"/>
      <c r="G294" s="224"/>
      <c r="H294" s="224"/>
      <c r="I294" s="224"/>
      <c r="J294" s="224"/>
    </row>
    <row r="295" spans="1:10" s="225" customFormat="1" ht="13.9" x14ac:dyDescent="0.4">
      <c r="A295" s="223"/>
      <c r="B295" s="223"/>
      <c r="C295" s="223"/>
      <c r="D295" s="223"/>
      <c r="E295" s="223"/>
      <c r="F295" s="223"/>
      <c r="G295" s="224"/>
      <c r="H295" s="224"/>
      <c r="I295" s="224"/>
      <c r="J295" s="224"/>
    </row>
    <row r="311" spans="1:12" s="225" customFormat="1" ht="13.9" x14ac:dyDescent="0.4">
      <c r="A311" s="223"/>
      <c r="B311" s="223"/>
      <c r="C311" s="223"/>
      <c r="D311" s="223"/>
      <c r="E311" s="223"/>
      <c r="F311" s="223"/>
      <c r="G311" s="224"/>
      <c r="H311" s="224"/>
      <c r="I311" s="224"/>
      <c r="J311" s="224"/>
    </row>
    <row r="312" spans="1:12" s="225" customFormat="1" ht="13.9" x14ac:dyDescent="0.4">
      <c r="A312" s="223"/>
      <c r="B312" s="223"/>
      <c r="C312" s="223"/>
      <c r="D312" s="223"/>
      <c r="E312" s="223"/>
      <c r="F312" s="223"/>
      <c r="G312" s="224"/>
      <c r="H312" s="224"/>
      <c r="I312" s="224"/>
      <c r="J312" s="224"/>
    </row>
    <row r="313" spans="1:12" s="225" customFormat="1" ht="13.9" x14ac:dyDescent="0.4">
      <c r="A313" s="223"/>
      <c r="B313" s="223"/>
      <c r="C313" s="223"/>
      <c r="D313" s="223"/>
      <c r="E313" s="223"/>
      <c r="F313" s="223"/>
      <c r="G313" s="224"/>
      <c r="H313" s="224"/>
      <c r="I313" s="224"/>
    </row>
    <row r="314" spans="1:12" s="225" customFormat="1" ht="13.9" x14ac:dyDescent="0.4">
      <c r="A314" s="223"/>
      <c r="B314" s="223"/>
      <c r="C314" s="223"/>
      <c r="D314" s="223"/>
      <c r="E314" s="223"/>
      <c r="F314" s="223"/>
      <c r="G314" s="224"/>
      <c r="H314" s="224"/>
      <c r="I314" s="224"/>
    </row>
    <row r="315" spans="1:12" s="225" customFormat="1" ht="13.9" x14ac:dyDescent="0.4">
      <c r="A315" s="223"/>
      <c r="B315" s="223"/>
      <c r="C315" s="223"/>
      <c r="D315" s="223"/>
      <c r="E315" s="223"/>
      <c r="F315" s="223"/>
      <c r="G315" s="224"/>
      <c r="H315" s="224"/>
      <c r="I315" s="224"/>
    </row>
    <row r="316" spans="1:12" s="225" customFormat="1" ht="13.9" x14ac:dyDescent="0.4">
      <c r="A316" s="223"/>
      <c r="B316" s="223"/>
      <c r="C316" s="223"/>
      <c r="D316" s="223"/>
      <c r="E316" s="223"/>
      <c r="F316" s="223"/>
      <c r="G316" s="224"/>
      <c r="H316" s="224"/>
      <c r="I316" s="224"/>
    </row>
    <row r="317" spans="1:12" s="225" customFormat="1" ht="13.9" x14ac:dyDescent="0.4">
      <c r="A317" s="223"/>
      <c r="B317" s="223"/>
      <c r="C317" s="223"/>
      <c r="D317" s="223"/>
      <c r="E317" s="223"/>
      <c r="F317" s="223"/>
      <c r="G317" s="224"/>
      <c r="H317" s="224"/>
      <c r="I317" s="224"/>
      <c r="J317" s="224"/>
      <c r="K317" s="224"/>
      <c r="L317" s="224"/>
    </row>
    <row r="318" spans="1:12" s="225" customFormat="1" ht="13.9" x14ac:dyDescent="0.4">
      <c r="A318" s="223"/>
      <c r="B318" s="223"/>
      <c r="C318" s="223"/>
      <c r="D318" s="223"/>
      <c r="E318" s="223"/>
      <c r="F318" s="223"/>
      <c r="G318" s="224"/>
      <c r="H318" s="224"/>
      <c r="I318" s="224"/>
      <c r="K318" s="224"/>
      <c r="L318" s="224"/>
    </row>
    <row r="319" spans="1:12" ht="13.9" x14ac:dyDescent="0.4">
      <c r="J319" s="225"/>
    </row>
    <row r="320" spans="1:12" ht="13.9" x14ac:dyDescent="0.4">
      <c r="J320" s="225"/>
    </row>
    <row r="321" spans="1:12" ht="13.9" x14ac:dyDescent="0.4">
      <c r="J321" s="225"/>
    </row>
    <row r="329" spans="1:12" s="225" customFormat="1" ht="13.9" x14ac:dyDescent="0.4">
      <c r="A329" s="223"/>
      <c r="B329" s="223"/>
      <c r="C329" s="223"/>
      <c r="D329" s="223"/>
      <c r="E329" s="223"/>
      <c r="F329" s="223"/>
      <c r="G329" s="224"/>
      <c r="H329" s="224"/>
      <c r="I329" s="224"/>
      <c r="J329" s="224"/>
    </row>
    <row r="330" spans="1:12" s="225" customFormat="1" ht="13.9" x14ac:dyDescent="0.4">
      <c r="A330" s="223"/>
      <c r="B330" s="223"/>
      <c r="C330" s="223"/>
      <c r="D330" s="223"/>
      <c r="E330" s="223"/>
      <c r="F330" s="223"/>
      <c r="G330" s="224"/>
      <c r="H330" s="224"/>
      <c r="I330" s="224"/>
      <c r="J330" s="224"/>
    </row>
    <row r="332" spans="1:12" s="225" customFormat="1" ht="13.9" x14ac:dyDescent="0.4">
      <c r="A332" s="223"/>
      <c r="B332" s="223"/>
      <c r="C332" s="223"/>
      <c r="D332" s="223"/>
      <c r="E332" s="223"/>
      <c r="F332" s="223"/>
      <c r="G332" s="224"/>
      <c r="H332" s="224"/>
      <c r="I332" s="224"/>
      <c r="J332" s="224"/>
    </row>
    <row r="333" spans="1:12" s="225" customFormat="1" ht="13.9" x14ac:dyDescent="0.4">
      <c r="A333" s="223"/>
      <c r="B333" s="223"/>
      <c r="C333" s="223"/>
      <c r="D333" s="223"/>
      <c r="E333" s="223"/>
      <c r="F333" s="223"/>
      <c r="G333" s="224"/>
      <c r="H333" s="224"/>
      <c r="I333" s="224"/>
    </row>
    <row r="334" spans="1:12" s="225" customFormat="1" ht="13.9" x14ac:dyDescent="0.4">
      <c r="A334" s="223"/>
      <c r="B334" s="223"/>
      <c r="C334" s="223"/>
      <c r="D334" s="223"/>
      <c r="E334" s="223"/>
      <c r="F334" s="223"/>
      <c r="G334" s="224"/>
      <c r="H334" s="224"/>
      <c r="I334" s="224"/>
    </row>
    <row r="335" spans="1:12" ht="13.9" x14ac:dyDescent="0.4">
      <c r="J335" s="225"/>
      <c r="K335" s="225"/>
      <c r="L335" s="225"/>
    </row>
    <row r="336" spans="1:12" ht="13.9" x14ac:dyDescent="0.4">
      <c r="J336" s="225"/>
      <c r="K336" s="225"/>
      <c r="L336" s="225"/>
    </row>
    <row r="337" spans="1:12" ht="13.9" x14ac:dyDescent="0.4">
      <c r="J337" s="225"/>
    </row>
    <row r="339" spans="1:12" s="225" customFormat="1" ht="13.9" x14ac:dyDescent="0.4">
      <c r="A339" s="223"/>
      <c r="B339" s="223"/>
      <c r="C339" s="223"/>
      <c r="D339" s="223"/>
      <c r="E339" s="223"/>
      <c r="F339" s="223"/>
      <c r="G339" s="224"/>
      <c r="H339" s="224"/>
      <c r="I339" s="224"/>
      <c r="J339" s="224"/>
      <c r="K339" s="224"/>
      <c r="L339" s="224"/>
    </row>
    <row r="340" spans="1:12" s="225" customFormat="1" ht="13.9" x14ac:dyDescent="0.4">
      <c r="A340" s="223"/>
      <c r="B340" s="223"/>
      <c r="C340" s="223"/>
      <c r="D340" s="223"/>
      <c r="E340" s="223"/>
      <c r="F340" s="223"/>
      <c r="G340" s="224"/>
      <c r="H340" s="224"/>
      <c r="I340" s="224"/>
      <c r="J340" s="224"/>
      <c r="K340" s="224"/>
      <c r="L340" s="224"/>
    </row>
    <row r="341" spans="1:12" s="225" customFormat="1" ht="13.9" x14ac:dyDescent="0.4">
      <c r="A341" s="223"/>
      <c r="B341" s="223"/>
      <c r="C341" s="223"/>
      <c r="D341" s="223"/>
      <c r="E341" s="223"/>
      <c r="F341" s="223"/>
      <c r="G341" s="224"/>
      <c r="H341" s="224"/>
      <c r="I341" s="224"/>
      <c r="J341" s="224"/>
      <c r="K341" s="224"/>
      <c r="L341" s="224"/>
    </row>
    <row r="342" spans="1:12" s="225" customFormat="1" ht="13.9" x14ac:dyDescent="0.4">
      <c r="A342" s="223"/>
      <c r="B342" s="223"/>
      <c r="C342" s="223"/>
      <c r="D342" s="223"/>
      <c r="E342" s="223"/>
      <c r="F342" s="223"/>
      <c r="G342" s="224"/>
      <c r="H342" s="224"/>
      <c r="I342" s="224"/>
    </row>
    <row r="343" spans="1:12" s="225" customFormat="1" ht="13.9" x14ac:dyDescent="0.4">
      <c r="A343" s="223"/>
      <c r="B343" s="223"/>
      <c r="C343" s="223"/>
      <c r="D343" s="223"/>
      <c r="E343" s="223"/>
      <c r="F343" s="223"/>
      <c r="G343" s="224"/>
      <c r="H343" s="224"/>
      <c r="I343" s="224"/>
    </row>
    <row r="344" spans="1:12" s="225" customFormat="1" ht="13.9" x14ac:dyDescent="0.4">
      <c r="A344" s="223"/>
      <c r="B344" s="223"/>
      <c r="C344" s="223"/>
      <c r="D344" s="223"/>
      <c r="E344" s="223"/>
      <c r="F344" s="223"/>
      <c r="G344" s="224"/>
      <c r="H344" s="224"/>
      <c r="I344" s="224"/>
    </row>
    <row r="345" spans="1:12" s="225" customFormat="1" ht="13.9" x14ac:dyDescent="0.4">
      <c r="A345" s="223"/>
      <c r="B345" s="223"/>
      <c r="C345" s="223"/>
      <c r="D345" s="223"/>
      <c r="E345" s="223"/>
      <c r="F345" s="223"/>
      <c r="G345" s="224"/>
      <c r="H345" s="224"/>
      <c r="I345" s="224"/>
    </row>
    <row r="346" spans="1:12" ht="13.9" x14ac:dyDescent="0.4">
      <c r="J346" s="225"/>
    </row>
    <row r="347" spans="1:12" ht="13.9" x14ac:dyDescent="0.4">
      <c r="J347" s="225"/>
    </row>
    <row r="348" spans="1:12" ht="13.9" x14ac:dyDescent="0.4">
      <c r="J348" s="225"/>
    </row>
    <row r="351" spans="1:12" ht="13.9" x14ac:dyDescent="0.4">
      <c r="J351" s="225"/>
    </row>
    <row r="352" spans="1:12" ht="13.9" x14ac:dyDescent="0.4">
      <c r="J352" s="225"/>
    </row>
    <row r="353" spans="1:10" ht="13.9" x14ac:dyDescent="0.4">
      <c r="J353" s="225"/>
    </row>
    <row r="358" spans="1:10" s="225" customFormat="1" ht="13.9" x14ac:dyDescent="0.4">
      <c r="A358" s="223"/>
      <c r="B358" s="223"/>
      <c r="C358" s="223"/>
      <c r="D358" s="223"/>
      <c r="E358" s="223"/>
      <c r="F358" s="223"/>
      <c r="G358" s="224"/>
      <c r="H358" s="224"/>
      <c r="I358" s="224"/>
      <c r="J358" s="224"/>
    </row>
    <row r="359" spans="1:10" s="225" customFormat="1" ht="13.9" x14ac:dyDescent="0.4">
      <c r="A359" s="223"/>
      <c r="B359" s="223"/>
      <c r="C359" s="223"/>
      <c r="D359" s="223"/>
      <c r="E359" s="223"/>
      <c r="F359" s="223"/>
      <c r="G359" s="224"/>
      <c r="H359" s="224"/>
      <c r="I359" s="224"/>
      <c r="J359" s="224"/>
    </row>
    <row r="360" spans="1:10" s="225" customFormat="1" ht="13.9" x14ac:dyDescent="0.4">
      <c r="A360" s="223"/>
      <c r="B360" s="223"/>
      <c r="C360" s="223"/>
      <c r="D360" s="223"/>
      <c r="E360" s="223"/>
      <c r="F360" s="223"/>
      <c r="G360" s="224"/>
      <c r="H360" s="224"/>
      <c r="I360" s="224"/>
      <c r="J360" s="224"/>
    </row>
    <row r="362" spans="1:10" s="225" customFormat="1" ht="13.9" x14ac:dyDescent="0.4">
      <c r="A362" s="223"/>
      <c r="B362" s="223"/>
      <c r="C362" s="223"/>
      <c r="D362" s="223"/>
      <c r="E362" s="223"/>
      <c r="F362" s="223"/>
      <c r="G362" s="224"/>
      <c r="H362" s="224"/>
      <c r="I362" s="224"/>
    </row>
    <row r="363" spans="1:10" s="225" customFormat="1" ht="13.9" x14ac:dyDescent="0.4">
      <c r="A363" s="223"/>
      <c r="B363" s="223"/>
      <c r="C363" s="223"/>
      <c r="D363" s="223"/>
      <c r="E363" s="223"/>
      <c r="F363" s="223"/>
      <c r="G363" s="224"/>
      <c r="H363" s="224"/>
      <c r="I363" s="224"/>
    </row>
    <row r="364" spans="1:10" s="225" customFormat="1" ht="13.9" x14ac:dyDescent="0.4">
      <c r="A364" s="223"/>
      <c r="B364" s="223"/>
      <c r="C364" s="223"/>
      <c r="D364" s="223"/>
      <c r="E364" s="223"/>
      <c r="F364" s="223"/>
      <c r="G364" s="224"/>
      <c r="H364" s="224"/>
      <c r="I364" s="224"/>
    </row>
    <row r="372" spans="1:12" ht="13.9" x14ac:dyDescent="0.4">
      <c r="K372" s="225"/>
      <c r="L372" s="225"/>
    </row>
    <row r="373" spans="1:12" ht="13.9" x14ac:dyDescent="0.4">
      <c r="K373" s="225"/>
      <c r="L373" s="225"/>
    </row>
    <row r="374" spans="1:12" ht="13.9" x14ac:dyDescent="0.4">
      <c r="K374" s="225"/>
      <c r="L374" s="225"/>
    </row>
    <row r="375" spans="1:12" ht="13.9" x14ac:dyDescent="0.4">
      <c r="K375" s="225"/>
      <c r="L375" s="225"/>
    </row>
    <row r="377" spans="1:12" ht="13.9" x14ac:dyDescent="0.4">
      <c r="J377" s="225"/>
    </row>
    <row r="378" spans="1:12" s="225" customFormat="1" ht="13.9" x14ac:dyDescent="0.4">
      <c r="A378" s="223"/>
      <c r="B378" s="223"/>
      <c r="C378" s="223"/>
      <c r="D378" s="223"/>
      <c r="E378" s="223"/>
      <c r="F378" s="223"/>
      <c r="G378" s="224"/>
      <c r="H378" s="224"/>
      <c r="I378" s="224"/>
      <c r="K378" s="224"/>
      <c r="L378" s="224"/>
    </row>
    <row r="379" spans="1:12" s="225" customFormat="1" ht="13.9" x14ac:dyDescent="0.4">
      <c r="A379" s="223"/>
      <c r="B379" s="223"/>
      <c r="C379" s="223"/>
      <c r="D379" s="223"/>
      <c r="E379" s="223"/>
      <c r="F379" s="223"/>
      <c r="G379" s="224"/>
      <c r="H379" s="224"/>
      <c r="I379" s="224"/>
      <c r="K379" s="224"/>
      <c r="L379" s="224"/>
    </row>
    <row r="380" spans="1:12" s="225" customFormat="1" ht="13.9" x14ac:dyDescent="0.4">
      <c r="A380" s="223"/>
      <c r="B380" s="223"/>
      <c r="C380" s="223"/>
      <c r="D380" s="223"/>
      <c r="E380" s="223"/>
      <c r="F380" s="223"/>
      <c r="G380" s="224"/>
      <c r="H380" s="224"/>
      <c r="I380" s="224"/>
      <c r="J380" s="224"/>
    </row>
    <row r="381" spans="1:12" s="225" customFormat="1" ht="13.9" x14ac:dyDescent="0.4">
      <c r="A381" s="223"/>
      <c r="B381" s="223"/>
      <c r="C381" s="223"/>
      <c r="D381" s="223"/>
      <c r="E381" s="223"/>
      <c r="F381" s="223"/>
      <c r="G381" s="224"/>
      <c r="H381" s="224"/>
      <c r="I381" s="224"/>
      <c r="J381" s="224"/>
    </row>
    <row r="382" spans="1:12" s="225" customFormat="1" ht="13.9" x14ac:dyDescent="0.4">
      <c r="A382" s="223"/>
      <c r="B382" s="223"/>
      <c r="C382" s="223"/>
      <c r="D382" s="223"/>
      <c r="E382" s="223"/>
      <c r="F382" s="223"/>
      <c r="G382" s="224"/>
      <c r="H382" s="224"/>
      <c r="I382" s="224"/>
      <c r="J382" s="224"/>
    </row>
    <row r="387" spans="1:12" ht="13.9" x14ac:dyDescent="0.4">
      <c r="K387" s="225"/>
      <c r="L387" s="225"/>
    </row>
    <row r="388" spans="1:12" ht="13.9" x14ac:dyDescent="0.4">
      <c r="K388" s="225"/>
      <c r="L388" s="225"/>
    </row>
    <row r="389" spans="1:12" ht="13.9" x14ac:dyDescent="0.4">
      <c r="K389" s="225"/>
      <c r="L389" s="225"/>
    </row>
    <row r="391" spans="1:12" s="225" customFormat="1" ht="13.9" x14ac:dyDescent="0.4">
      <c r="A391" s="223"/>
      <c r="B391" s="223"/>
      <c r="C391" s="223"/>
      <c r="D391" s="223"/>
      <c r="E391" s="223"/>
      <c r="F391" s="223"/>
      <c r="G391" s="224"/>
      <c r="H391" s="224"/>
      <c r="I391" s="224"/>
      <c r="J391" s="224"/>
    </row>
    <row r="392" spans="1:12" s="225" customFormat="1" ht="13.9" x14ac:dyDescent="0.4">
      <c r="A392" s="223"/>
      <c r="B392" s="223"/>
      <c r="C392" s="223"/>
      <c r="D392" s="223"/>
      <c r="E392" s="223"/>
      <c r="F392" s="223"/>
      <c r="G392" s="224"/>
      <c r="H392" s="224"/>
      <c r="I392" s="224"/>
      <c r="J392" s="224"/>
    </row>
    <row r="393" spans="1:12" s="225" customFormat="1" ht="13.9" x14ac:dyDescent="0.4">
      <c r="A393" s="223"/>
      <c r="B393" s="223"/>
      <c r="C393" s="223"/>
      <c r="D393" s="223"/>
      <c r="E393" s="223"/>
      <c r="F393" s="223"/>
      <c r="G393" s="224"/>
      <c r="H393" s="224"/>
      <c r="I393" s="224"/>
      <c r="J393" s="224"/>
    </row>
    <row r="394" spans="1:12" s="225" customFormat="1" ht="13.9" x14ac:dyDescent="0.4">
      <c r="A394" s="223"/>
      <c r="B394" s="223"/>
      <c r="C394" s="223"/>
      <c r="D394" s="223"/>
      <c r="E394" s="223"/>
      <c r="F394" s="223"/>
      <c r="G394" s="224"/>
      <c r="H394" s="224"/>
      <c r="I394" s="224"/>
      <c r="J394" s="224"/>
      <c r="K394" s="224"/>
      <c r="L394" s="224"/>
    </row>
    <row r="395" spans="1:12" ht="13.9" x14ac:dyDescent="0.4">
      <c r="J395" s="225"/>
    </row>
    <row r="396" spans="1:12" ht="13.9" x14ac:dyDescent="0.4">
      <c r="J396" s="225"/>
    </row>
    <row r="397" spans="1:12" s="225" customFormat="1" ht="13.9" x14ac:dyDescent="0.4">
      <c r="A397" s="223"/>
      <c r="B397" s="223"/>
      <c r="C397" s="223"/>
      <c r="D397" s="223"/>
      <c r="E397" s="223"/>
      <c r="F397" s="223"/>
      <c r="G397" s="224"/>
      <c r="H397" s="224"/>
      <c r="I397" s="224"/>
    </row>
    <row r="398" spans="1:12" s="225" customFormat="1" ht="13.9" x14ac:dyDescent="0.4">
      <c r="A398" s="223"/>
      <c r="B398" s="223"/>
      <c r="C398" s="223"/>
      <c r="D398" s="223"/>
      <c r="E398" s="223"/>
      <c r="F398" s="223"/>
      <c r="G398" s="224"/>
      <c r="H398" s="224"/>
      <c r="I398" s="224"/>
    </row>
    <row r="399" spans="1:12" s="225" customFormat="1" ht="13.9" x14ac:dyDescent="0.4">
      <c r="A399" s="223"/>
      <c r="B399" s="223"/>
      <c r="C399" s="223"/>
      <c r="D399" s="223"/>
      <c r="E399" s="223"/>
      <c r="F399" s="223"/>
      <c r="G399" s="224"/>
      <c r="H399" s="224"/>
      <c r="I399" s="224"/>
    </row>
    <row r="405" spans="1:12" ht="13.9" x14ac:dyDescent="0.4">
      <c r="K405" s="225"/>
      <c r="L405" s="225"/>
    </row>
    <row r="406" spans="1:12" ht="13.9" x14ac:dyDescent="0.4">
      <c r="K406" s="225"/>
      <c r="L406" s="225"/>
    </row>
    <row r="407" spans="1:12" ht="13.9" x14ac:dyDescent="0.4">
      <c r="K407" s="225"/>
      <c r="L407" s="225"/>
    </row>
    <row r="409" spans="1:12" ht="13.9" x14ac:dyDescent="0.4">
      <c r="J409" s="225"/>
    </row>
    <row r="410" spans="1:12" s="225" customFormat="1" ht="13.9" x14ac:dyDescent="0.4">
      <c r="A410" s="223"/>
      <c r="B410" s="223"/>
      <c r="C410" s="223"/>
      <c r="D410" s="223"/>
      <c r="E410" s="223"/>
      <c r="F410" s="223"/>
      <c r="G410" s="224"/>
      <c r="H410" s="224"/>
      <c r="I410" s="224"/>
      <c r="K410" s="224"/>
      <c r="L410" s="224"/>
    </row>
    <row r="411" spans="1:12" s="225" customFormat="1" ht="13.9" x14ac:dyDescent="0.4">
      <c r="A411" s="223"/>
      <c r="B411" s="223"/>
      <c r="C411" s="223"/>
      <c r="D411" s="223"/>
      <c r="E411" s="223"/>
      <c r="F411" s="223"/>
      <c r="G411" s="224"/>
      <c r="H411" s="224"/>
      <c r="I411" s="224"/>
      <c r="K411" s="224"/>
      <c r="L411" s="224"/>
    </row>
    <row r="412" spans="1:12" s="225" customFormat="1" ht="13.9" x14ac:dyDescent="0.4">
      <c r="A412" s="223"/>
      <c r="B412" s="223"/>
      <c r="C412" s="223"/>
      <c r="D412" s="223"/>
      <c r="E412" s="223"/>
      <c r="F412" s="223"/>
      <c r="G412" s="224"/>
      <c r="H412" s="224"/>
      <c r="I412" s="224"/>
      <c r="J412" s="224"/>
      <c r="K412" s="224"/>
      <c r="L412" s="224"/>
    </row>
    <row r="422" spans="1:10" s="225" customFormat="1" ht="13.9" x14ac:dyDescent="0.4">
      <c r="A422" s="223"/>
      <c r="B422" s="223"/>
      <c r="C422" s="223"/>
      <c r="D422" s="223"/>
      <c r="E422" s="223"/>
      <c r="F422" s="223"/>
      <c r="G422" s="224"/>
      <c r="H422" s="224"/>
      <c r="I422" s="224"/>
      <c r="J422" s="224"/>
    </row>
    <row r="423" spans="1:10" s="225" customFormat="1" ht="13.9" x14ac:dyDescent="0.4">
      <c r="A423" s="223"/>
      <c r="B423" s="223"/>
      <c r="C423" s="223"/>
      <c r="D423" s="223"/>
      <c r="E423" s="223"/>
      <c r="F423" s="223"/>
      <c r="G423" s="224"/>
      <c r="H423" s="224"/>
      <c r="I423" s="224"/>
      <c r="J423" s="224"/>
    </row>
    <row r="424" spans="1:10" s="225" customFormat="1" ht="13.9" x14ac:dyDescent="0.4">
      <c r="A424" s="223"/>
      <c r="B424" s="223"/>
      <c r="C424" s="223"/>
      <c r="D424" s="223"/>
      <c r="E424" s="223"/>
      <c r="F424" s="223"/>
      <c r="G424" s="224"/>
      <c r="H424" s="224"/>
      <c r="I424" s="224"/>
      <c r="J424" s="224"/>
    </row>
    <row r="440" spans="1:10" s="225" customFormat="1" ht="13.9" x14ac:dyDescent="0.4">
      <c r="A440" s="223"/>
      <c r="B440" s="223"/>
      <c r="C440" s="223"/>
      <c r="D440" s="223"/>
      <c r="E440" s="223"/>
      <c r="F440" s="223"/>
      <c r="G440" s="224"/>
      <c r="H440" s="224"/>
      <c r="I440" s="224"/>
      <c r="J440" s="224"/>
    </row>
    <row r="441" spans="1:10" s="225" customFormat="1" ht="13.9" x14ac:dyDescent="0.4">
      <c r="A441" s="223"/>
      <c r="B441" s="223"/>
      <c r="C441" s="223"/>
      <c r="D441" s="223"/>
      <c r="E441" s="223"/>
      <c r="F441" s="223"/>
      <c r="G441" s="224"/>
      <c r="H441" s="224"/>
      <c r="I441" s="224"/>
      <c r="J441" s="224"/>
    </row>
    <row r="442" spans="1:10" s="225" customFormat="1" ht="13.9" x14ac:dyDescent="0.4">
      <c r="A442" s="223"/>
      <c r="B442" s="223"/>
      <c r="C442" s="223"/>
      <c r="D442" s="223"/>
      <c r="E442" s="223"/>
      <c r="F442" s="223"/>
      <c r="G442" s="224"/>
      <c r="H442" s="224"/>
      <c r="I442" s="224"/>
      <c r="J442" s="224"/>
    </row>
    <row r="454" spans="1:10" s="225" customFormat="1" ht="13.9" x14ac:dyDescent="0.4">
      <c r="A454" s="223"/>
      <c r="B454" s="223"/>
      <c r="C454" s="223"/>
      <c r="D454" s="223"/>
      <c r="E454" s="223"/>
      <c r="F454" s="223"/>
      <c r="G454" s="224"/>
      <c r="H454" s="224"/>
      <c r="I454" s="224"/>
      <c r="J454" s="224"/>
    </row>
    <row r="455" spans="1:10" s="225" customFormat="1" ht="13.9" x14ac:dyDescent="0.4">
      <c r="A455" s="223"/>
      <c r="B455" s="223"/>
      <c r="C455" s="223"/>
      <c r="D455" s="223"/>
      <c r="E455" s="223"/>
      <c r="F455" s="223"/>
      <c r="G455" s="224"/>
      <c r="H455" s="224"/>
      <c r="I455" s="224"/>
      <c r="J455" s="224"/>
    </row>
    <row r="456" spans="1:10" s="225" customFormat="1" ht="13.9" x14ac:dyDescent="0.4">
      <c r="A456" s="223"/>
      <c r="B456" s="223"/>
      <c r="C456" s="223"/>
      <c r="D456" s="223"/>
      <c r="E456" s="223"/>
      <c r="F456" s="223"/>
      <c r="G456" s="224"/>
      <c r="H456" s="224"/>
      <c r="I456" s="224"/>
      <c r="J456" s="22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2022-05-23T14:14:48Z</dcterms:modified>
</cp:coreProperties>
</file>