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25725"/>
</workbook>
</file>

<file path=xl/calcChain.xml><?xml version="1.0" encoding="utf-8"?>
<calcChain xmlns="http://schemas.openxmlformats.org/spreadsheetml/2006/main">
  <c r="C19" i="1"/>
  <c r="N3" a="1"/>
  <c r="N5" s="1"/>
  <c r="T2" a="1"/>
  <c r="T3" s="1"/>
  <c r="M4"/>
  <c r="M5"/>
  <c r="M6"/>
  <c r="M7"/>
  <c r="M8"/>
  <c r="M9"/>
  <c r="M10"/>
  <c r="M11"/>
  <c r="M12"/>
  <c r="M3"/>
  <c r="L4"/>
  <c r="L5"/>
  <c r="L6"/>
  <c r="L7"/>
  <c r="L8"/>
  <c r="L9"/>
  <c r="L10"/>
  <c r="L11"/>
  <c r="L12"/>
  <c r="L3"/>
  <c r="K4"/>
  <c r="K5"/>
  <c r="K6"/>
  <c r="K7"/>
  <c r="K8"/>
  <c r="K9"/>
  <c r="K10"/>
  <c r="K11"/>
  <c r="K12"/>
  <c r="K3"/>
  <c r="M28"/>
  <c r="M27"/>
  <c r="M26"/>
  <c r="M25"/>
  <c r="M23"/>
  <c r="N21"/>
  <c r="M21"/>
  <c r="O20"/>
  <c r="N20"/>
  <c r="M20"/>
  <c r="J28"/>
  <c r="J27"/>
  <c r="J25"/>
  <c r="J24"/>
  <c r="J23"/>
  <c r="J21"/>
  <c r="J20"/>
  <c r="L18"/>
  <c r="K18"/>
  <c r="J18"/>
  <c r="H28"/>
  <c r="G28"/>
  <c r="G27"/>
  <c r="G26"/>
  <c r="G24"/>
  <c r="G23"/>
  <c r="G22"/>
  <c r="G20"/>
  <c r="G19"/>
  <c r="G18"/>
  <c r="J4"/>
  <c r="J5"/>
  <c r="J6"/>
  <c r="J7"/>
  <c r="J8"/>
  <c r="J9"/>
  <c r="J10"/>
  <c r="J11"/>
  <c r="J12"/>
  <c r="J3"/>
  <c r="I4"/>
  <c r="I5"/>
  <c r="I6"/>
  <c r="I7"/>
  <c r="I8"/>
  <c r="I9"/>
  <c r="I10"/>
  <c r="I11"/>
  <c r="I12"/>
  <c r="I3"/>
  <c r="I13" s="1"/>
  <c r="H4"/>
  <c r="H5"/>
  <c r="H6"/>
  <c r="H7"/>
  <c r="H8"/>
  <c r="H9"/>
  <c r="H10"/>
  <c r="H11"/>
  <c r="H12"/>
  <c r="H3"/>
  <c r="H13" s="1"/>
  <c r="Q5"/>
  <c r="G4"/>
  <c r="G5"/>
  <c r="G6"/>
  <c r="G7"/>
  <c r="G8"/>
  <c r="G9"/>
  <c r="G10"/>
  <c r="G11"/>
  <c r="G12"/>
  <c r="G3"/>
  <c r="G13" s="1"/>
  <c r="C21"/>
  <c r="B21"/>
  <c r="C20"/>
  <c r="B19"/>
  <c r="B20" s="1"/>
  <c r="C18"/>
  <c r="C16"/>
  <c r="C15"/>
  <c r="B15"/>
  <c r="B16"/>
  <c r="C14"/>
  <c r="D14"/>
  <c r="E14"/>
  <c r="F14"/>
  <c r="B14"/>
  <c r="C13"/>
  <c r="D13"/>
  <c r="E13"/>
  <c r="F13"/>
  <c r="B13"/>
  <c r="F4"/>
  <c r="F5"/>
  <c r="F6"/>
  <c r="F7"/>
  <c r="F8"/>
  <c r="F9"/>
  <c r="F10"/>
  <c r="F11"/>
  <c r="F12"/>
  <c r="F3"/>
  <c r="E4"/>
  <c r="E5"/>
  <c r="E6"/>
  <c r="E7"/>
  <c r="E8"/>
  <c r="E9"/>
  <c r="E10"/>
  <c r="E11"/>
  <c r="E12"/>
  <c r="E3"/>
  <c r="D4"/>
  <c r="D5"/>
  <c r="D6"/>
  <c r="D7"/>
  <c r="D8"/>
  <c r="D9"/>
  <c r="D10"/>
  <c r="D11"/>
  <c r="D12"/>
  <c r="D3"/>
  <c r="N10" l="1"/>
  <c r="N11"/>
  <c r="N7"/>
  <c r="N3"/>
  <c r="N6"/>
  <c r="N12"/>
  <c r="N8"/>
  <c r="N4"/>
  <c r="N9"/>
  <c r="U5"/>
  <c r="U3"/>
  <c r="T6"/>
  <c r="T4"/>
  <c r="T2"/>
  <c r="U4"/>
  <c r="U2"/>
  <c r="U6"/>
  <c r="T5"/>
  <c r="J13"/>
</calcChain>
</file>

<file path=xl/sharedStrings.xml><?xml version="1.0" encoding="utf-8"?>
<sst xmlns="http://schemas.openxmlformats.org/spreadsheetml/2006/main" count="99" uniqueCount="84">
  <si>
    <t>i</t>
  </si>
  <si>
    <t>yi</t>
  </si>
  <si>
    <t>xi</t>
  </si>
  <si>
    <t>xiyi</t>
  </si>
  <si>
    <t>xi^2</t>
  </si>
  <si>
    <t>yi^2</t>
  </si>
  <si>
    <t>Sвi</t>
  </si>
  <si>
    <t>yimin</t>
  </si>
  <si>
    <t>yimax</t>
  </si>
  <si>
    <t>сумма</t>
  </si>
  <si>
    <t>ср</t>
  </si>
  <si>
    <t>сигма</t>
  </si>
  <si>
    <t>сигма^2</t>
  </si>
  <si>
    <t>сигма=сумм(xi-&lt;x&gt;)^2/n</t>
  </si>
  <si>
    <t>cov = сумм((xi-&lt;x&gt;)(yi-&lt;y&gt;))/n</t>
  </si>
  <si>
    <t>(yi-&lt;y&gt;)^2</t>
  </si>
  <si>
    <t>cov(x,y)</t>
  </si>
  <si>
    <t>b1</t>
  </si>
  <si>
    <t>b0</t>
  </si>
  <si>
    <t>проверка</t>
  </si>
  <si>
    <t>rxy</t>
  </si>
  <si>
    <t>Yi</t>
  </si>
  <si>
    <t>(Yi-&lt;y&gt;)^2</t>
  </si>
  <si>
    <t>(yi-Yi)^2</t>
  </si>
  <si>
    <t>Q</t>
  </si>
  <si>
    <t>s^2</t>
  </si>
  <si>
    <t>s</t>
  </si>
  <si>
    <t>Qr</t>
  </si>
  <si>
    <t>Sr^2</t>
  </si>
  <si>
    <t>Sr</t>
  </si>
  <si>
    <t>Qв</t>
  </si>
  <si>
    <t>Sв^2</t>
  </si>
  <si>
    <t>Sв</t>
  </si>
  <si>
    <t>Ryx^2</t>
  </si>
  <si>
    <t>Sb1</t>
  </si>
  <si>
    <t>Sb0</t>
  </si>
  <si>
    <t>tb1</t>
  </si>
  <si>
    <t>tb0</t>
  </si>
  <si>
    <t>tкр</t>
  </si>
  <si>
    <t>Pb0</t>
  </si>
  <si>
    <t>Pb1</t>
  </si>
  <si>
    <t>&lt;0.05</t>
  </si>
  <si>
    <t>&lt;tb</t>
  </si>
  <si>
    <t>F</t>
  </si>
  <si>
    <t>Fкр</t>
  </si>
  <si>
    <t>P</t>
  </si>
  <si>
    <t>B1min</t>
  </si>
  <si>
    <t>B0min</t>
  </si>
  <si>
    <t>B1max</t>
  </si>
  <si>
    <t>B0max</t>
  </si>
  <si>
    <t>тенденция</t>
  </si>
  <si>
    <t>Rxy^2</t>
  </si>
  <si>
    <t>dF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</si>
  <si>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</si>
  <si>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</si>
  <si>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</si>
  <si>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</si>
  <si>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</si>
  <si>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</si>
  <si>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</si>
  <si>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</si>
  <si>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</si>
  <si>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</si>
  <si>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</si>
  <si>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</si>
  <si>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</si>
  <si>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</si>
  <si>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</si>
  <si>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</si>
  <si>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</si>
  <si>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</si>
  <si>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</si>
  <si>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</si>
  <si>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</si>
  <si>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</si>
  <si>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</si>
  <si>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</si>
  <si>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</si>
  <si>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</si>
  <si>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</si>
  <si>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</si>
  <si>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ВЫВОД ВЕРОЯТНОСТИ</t>
  </si>
  <si>
    <t>Персентиль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</si>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</sst>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21" xfId="0" applyFill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" fillId="0" borderId="22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Лист4!$C$25:$C$34</c:f>
              <c:numCache>
                <c:formatCode>General</c:formatCode>
                <c:ptCount val="10"/>
                <c:pt idx="0">
                  <c:v>6.4325330720235314</c:v>
                </c:pt>
                <c:pt idx="1">
                  <c:v>-0.18334149926505461</c:v>
                </c:pt>
                <c:pt idx="2">
                  <c:v>-2.4484076433120947</c:v>
                </c:pt>
                <c:pt idx="3">
                  <c:v>-3.4880940715335669</c:v>
                </c:pt>
                <c:pt idx="4">
                  <c:v>1.0150906418422494</c:v>
                </c:pt>
                <c:pt idx="5">
                  <c:v>-3.4087212150906225</c:v>
                </c:pt>
                <c:pt idx="6">
                  <c:v>7.3992160705536776</c:v>
                </c:pt>
                <c:pt idx="7">
                  <c:v>3.5849093581577733</c:v>
                </c:pt>
                <c:pt idx="8">
                  <c:v>-3.9515923566878826</c:v>
                </c:pt>
                <c:pt idx="9">
                  <c:v>-4.9515923566878826</c:v>
                </c:pt>
              </c:numCache>
            </c:numRef>
          </c:yVal>
        </c:ser>
        <c:axId val="65930752"/>
        <c:axId val="65901696"/>
      </c:scatterChart>
      <c:valAx>
        <c:axId val="65930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</c:title>
        <c:numFmt formatCode="General" sourceLinked="1"/>
        <c:tickLblPos val="nextTo"/>
        <c:crossAx val="65901696"/>
        <c:crosses val="autoZero"/>
        <c:crossBetween val="midCat"/>
      </c:valAx>
      <c:valAx>
        <c:axId val="659016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</c:title>
        <c:numFmt formatCode="General" sourceLinked="1"/>
        <c:tickLblPos val="nextTo"/>
        <c:crossAx val="6593075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Лист4!$E$25:$E$34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Лист4!$F$25:$F$34</c:f>
              <c:numCache>
                <c:formatCode>General</c:formatCode>
                <c:ptCount val="10"/>
                <c:pt idx="0">
                  <c:v>124</c:v>
                </c:pt>
                <c:pt idx="1">
                  <c:v>125</c:v>
                </c:pt>
                <c:pt idx="2">
                  <c:v>125</c:v>
                </c:pt>
                <c:pt idx="3">
                  <c:v>126</c:v>
                </c:pt>
                <c:pt idx="4">
                  <c:v>134</c:v>
                </c:pt>
                <c:pt idx="5">
                  <c:v>136</c:v>
                </c:pt>
                <c:pt idx="6">
                  <c:v>143</c:v>
                </c:pt>
                <c:pt idx="7">
                  <c:v>148</c:v>
                </c:pt>
                <c:pt idx="8">
                  <c:v>156</c:v>
                </c:pt>
                <c:pt idx="9">
                  <c:v>160</c:v>
                </c:pt>
              </c:numCache>
            </c:numRef>
          </c:yVal>
        </c:ser>
        <c:axId val="106616320"/>
        <c:axId val="92598272"/>
      </c:scatterChart>
      <c:valAx>
        <c:axId val="106616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</c:title>
        <c:numFmt formatCode="General" sourceLinked="1"/>
        <c:tickLblPos val="nextTo"/>
        <c:crossAx val="92598272"/>
        <c:crosses val="autoZero"/>
        <c:crossBetween val="midCat"/>
      </c:valAx>
      <c:valAx>
        <c:axId val="925982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066163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Лист1!$B$3:$B$12</c:f>
              <c:numCache>
                <c:formatCode>General</c:formatCode>
                <c:ptCount val="10"/>
                <c:pt idx="0">
                  <c:v>134</c:v>
                </c:pt>
                <c:pt idx="1">
                  <c:v>125</c:v>
                </c:pt>
                <c:pt idx="2">
                  <c:v>143</c:v>
                </c:pt>
                <c:pt idx="3">
                  <c:v>136</c:v>
                </c:pt>
                <c:pt idx="4">
                  <c:v>156</c:v>
                </c:pt>
                <c:pt idx="5">
                  <c:v>148</c:v>
                </c:pt>
                <c:pt idx="6">
                  <c:v>160</c:v>
                </c:pt>
                <c:pt idx="7">
                  <c:v>124</c:v>
                </c:pt>
                <c:pt idx="8">
                  <c:v>126</c:v>
                </c:pt>
                <c:pt idx="9">
                  <c:v>125</c:v>
                </c:pt>
              </c:numCache>
            </c:numRef>
          </c:yVal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axId val="133019904"/>
        <c:axId val="133029248"/>
      </c:scatterChart>
      <c:valAx>
        <c:axId val="133019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</c:title>
        <c:numFmt formatCode="General" sourceLinked="1"/>
        <c:tickLblPos val="nextTo"/>
        <c:crossAx val="133029248"/>
        <c:crosses val="autoZero"/>
        <c:crossBetween val="midCat"/>
      </c:valAx>
      <c:valAx>
        <c:axId val="1330292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33019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среднедневной заработной платы,руб. от среднедушевого прожиточного минимума в день, руб.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08121901428988"/>
          <c:y val="0.27617193918175958"/>
          <c:w val="0.69264253426654998"/>
          <c:h val="0.55285954424236294"/>
        </c:manualLayout>
      </c:layout>
      <c:scatterChart>
        <c:scatterStyle val="smoothMarker"/>
        <c:ser>
          <c:idx val="0"/>
          <c:order val="0"/>
          <c:tx>
            <c:v>y</c:v>
          </c:tx>
          <c:marker>
            <c:symbol val="none"/>
          </c:marke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Лист1!$B$3:$B$12</c:f>
              <c:numCache>
                <c:formatCode>General</c:formatCode>
                <c:ptCount val="10"/>
                <c:pt idx="0">
                  <c:v>134</c:v>
                </c:pt>
                <c:pt idx="1">
                  <c:v>125</c:v>
                </c:pt>
                <c:pt idx="2">
                  <c:v>143</c:v>
                </c:pt>
                <c:pt idx="3">
                  <c:v>136</c:v>
                </c:pt>
                <c:pt idx="4">
                  <c:v>156</c:v>
                </c:pt>
                <c:pt idx="5">
                  <c:v>148</c:v>
                </c:pt>
                <c:pt idx="6">
                  <c:v>160</c:v>
                </c:pt>
                <c:pt idx="7">
                  <c:v>124</c:v>
                </c:pt>
                <c:pt idx="8">
                  <c:v>126</c:v>
                </c:pt>
                <c:pt idx="9">
                  <c:v>125</c:v>
                </c:pt>
              </c:numCache>
            </c:numRef>
          </c:yVal>
          <c:smooth val="1"/>
        </c:ser>
        <c:ser>
          <c:idx val="1"/>
          <c:order val="1"/>
          <c:tx>
            <c:v>Yр</c:v>
          </c:tx>
          <c:trendline>
            <c:trendlineType val="linear"/>
          </c:trendline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Лист1!$G$3:$G$12</c:f>
              <c:numCache>
                <c:formatCode>General</c:formatCode>
                <c:ptCount val="10"/>
                <c:pt idx="0">
                  <c:v>128.58072023517883</c:v>
                </c:pt>
                <c:pt idx="1">
                  <c:v>126.43500734933855</c:v>
                </c:pt>
                <c:pt idx="2">
                  <c:v>144.67356687898086</c:v>
                </c:pt>
                <c:pt idx="3">
                  <c:v>139.30928466438019</c:v>
                </c:pt>
                <c:pt idx="4">
                  <c:v>153.25641842234199</c:v>
                </c:pt>
                <c:pt idx="5">
                  <c:v>150.03784909358154</c:v>
                </c:pt>
                <c:pt idx="6">
                  <c:v>151.11070553650171</c:v>
                </c:pt>
                <c:pt idx="7">
                  <c:v>122.143581577658</c:v>
                </c:pt>
                <c:pt idx="8">
                  <c:v>130.72643312101911</c:v>
                </c:pt>
                <c:pt idx="9">
                  <c:v>130.72643312101911</c:v>
                </c:pt>
              </c:numCache>
            </c:numRef>
          </c:yVal>
          <c:smooth val="1"/>
        </c:ser>
        <c:ser>
          <c:idx val="2"/>
          <c:order val="2"/>
          <c:tx>
            <c:v>Ymin</c:v>
          </c:tx>
          <c:marker>
            <c:symbol val="none"/>
          </c:marker>
          <c:trendline>
            <c:trendlineType val="linear"/>
          </c:trendline>
          <c:trendline>
            <c:trendlineType val="exp"/>
          </c:trendline>
          <c:trendline>
            <c:spPr>
              <a:ln>
                <a:solidFill>
                  <a:schemeClr val="accent5">
                    <a:lumMod val="50000"/>
                  </a:schemeClr>
                </a:solidFill>
              </a:ln>
            </c:spPr>
            <c:trendlineType val="poly"/>
            <c:order val="2"/>
          </c:trendline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Лист1!$L$3:$L$12</c:f>
              <c:numCache>
                <c:formatCode>General</c:formatCode>
                <c:ptCount val="10"/>
                <c:pt idx="0">
                  <c:v>121.38022463680312</c:v>
                </c:pt>
                <c:pt idx="1">
                  <c:v>126.43500734933855</c:v>
                </c:pt>
                <c:pt idx="2">
                  <c:v>144.6387078010614</c:v>
                </c:pt>
                <c:pt idx="3">
                  <c:v>139.30889252216269</c:v>
                </c:pt>
                <c:pt idx="4">
                  <c:v>153.25641842234199</c:v>
                </c:pt>
                <c:pt idx="5">
                  <c:v>150.03784909358154</c:v>
                </c:pt>
                <c:pt idx="6">
                  <c:v>151.11070553650171</c:v>
                </c:pt>
                <c:pt idx="7">
                  <c:v>122.143581577658</c:v>
                </c:pt>
                <c:pt idx="8">
                  <c:v>130.72643312101911</c:v>
                </c:pt>
                <c:pt idx="9">
                  <c:v>130.72643312101911</c:v>
                </c:pt>
              </c:numCache>
            </c:numRef>
          </c:yVal>
          <c:smooth val="1"/>
        </c:ser>
        <c:ser>
          <c:idx val="3"/>
          <c:order val="3"/>
          <c:tx>
            <c:v>Ymax</c:v>
          </c:tx>
          <c:spPr>
            <a:ln>
              <a:solidFill>
                <a:srgbClr val="F79646">
                  <a:lumMod val="75000"/>
                </a:srgbClr>
              </a:solidFill>
            </a:ln>
          </c:spPr>
          <c:marker>
            <c:symbol val="none"/>
          </c:marker>
          <c:trendline>
            <c:trendlineType val="poly"/>
            <c:order val="2"/>
          </c:trendline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Лист1!$M$3:$M$12</c:f>
              <c:numCache>
                <c:formatCode>General</c:formatCode>
                <c:ptCount val="10"/>
                <c:pt idx="0">
                  <c:v>135.78121583355454</c:v>
                </c:pt>
                <c:pt idx="1">
                  <c:v>126.43500734933855</c:v>
                </c:pt>
                <c:pt idx="2">
                  <c:v>144.70842595690033</c:v>
                </c:pt>
                <c:pt idx="3">
                  <c:v>139.30967680659768</c:v>
                </c:pt>
                <c:pt idx="4">
                  <c:v>153.25641842234199</c:v>
                </c:pt>
                <c:pt idx="5">
                  <c:v>150.03784909358154</c:v>
                </c:pt>
                <c:pt idx="6">
                  <c:v>151.11070553650171</c:v>
                </c:pt>
                <c:pt idx="7">
                  <c:v>122.143581577658</c:v>
                </c:pt>
                <c:pt idx="8">
                  <c:v>130.72643312101911</c:v>
                </c:pt>
                <c:pt idx="9">
                  <c:v>130.72643312101911</c:v>
                </c:pt>
              </c:numCache>
            </c:numRef>
          </c:yVal>
          <c:smooth val="1"/>
        </c:ser>
        <c:axId val="81224832"/>
        <c:axId val="65412480"/>
      </c:scatterChart>
      <c:valAx>
        <c:axId val="81224832"/>
        <c:scaling>
          <c:orientation val="minMax"/>
          <c:min val="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Среднедушевой прожиточный минимум в день, руб.</a:t>
                </a:r>
              </a:p>
            </c:rich>
          </c:tx>
          <c:layout/>
        </c:title>
        <c:numFmt formatCode="General" sourceLinked="1"/>
        <c:tickLblPos val="nextTo"/>
        <c:crossAx val="65412480"/>
        <c:crosses val="autoZero"/>
        <c:crossBetween val="midCat"/>
      </c:valAx>
      <c:valAx>
        <c:axId val="65412480"/>
        <c:scaling>
          <c:orientation val="minMax"/>
          <c:max val="165"/>
          <c:min val="1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Среднедневная заработная плата, руб.</a:t>
                </a:r>
              </a:p>
            </c:rich>
          </c:tx>
          <c:layout/>
        </c:title>
        <c:numFmt formatCode="General" sourceLinked="1"/>
        <c:tickLblPos val="nextTo"/>
        <c:crossAx val="81224832"/>
        <c:crosses val="autoZero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0</xdr:row>
      <xdr:rowOff>171450</xdr:rowOff>
    </xdr:from>
    <xdr:to>
      <xdr:col>15</xdr:col>
      <xdr:colOff>292100</xdr:colOff>
      <xdr:row>10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22</xdr:row>
      <xdr:rowOff>114300</xdr:rowOff>
    </xdr:from>
    <xdr:to>
      <xdr:col>15</xdr:col>
      <xdr:colOff>323850</xdr:colOff>
      <xdr:row>32</xdr:row>
      <xdr:rowOff>120650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330200</xdr:colOff>
      <xdr:row>11</xdr:row>
      <xdr:rowOff>127000</xdr:rowOff>
    </xdr:from>
    <xdr:to>
      <xdr:col>15</xdr:col>
      <xdr:colOff>330200</xdr:colOff>
      <xdr:row>21</xdr:row>
      <xdr:rowOff>120650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30</xdr:row>
      <xdr:rowOff>95250</xdr:rowOff>
    </xdr:from>
    <xdr:to>
      <xdr:col>16</xdr:col>
      <xdr:colOff>101600</xdr:colOff>
      <xdr:row>52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opLeftCell="D1" workbookViewId="0">
      <selection activeCell="N29" sqref="N29"/>
    </sheetView>
  </sheetViews>
  <sheetFormatPr defaultRowHeight="14.5"/>
  <cols>
    <col min="1" max="1" width="24.90625" bestFit="1" customWidth="1"/>
    <col min="2" max="2" width="16.1796875" bestFit="1" customWidth="1"/>
    <col min="3" max="3" width="21.08984375" bestFit="1" customWidth="1"/>
    <col min="4" max="4" width="14.08984375" bestFit="1" customWidth="1"/>
    <col min="5" max="5" width="20.36328125" bestFit="1" customWidth="1"/>
    <col min="6" max="6" width="13.54296875" bestFit="1" customWidth="1"/>
    <col min="7" max="7" width="12.54296875" bestFit="1" customWidth="1"/>
    <col min="8" max="8" width="13.90625" bestFit="1" customWidth="1"/>
    <col min="9" max="9" width="14.08984375" bestFit="1" customWidth="1"/>
  </cols>
  <sheetData>
    <row r="1" spans="1:9">
      <c r="A1" t="s">
        <v>53</v>
      </c>
    </row>
    <row r="2" spans="1:9" ht="15" thickBot="1"/>
    <row r="3" spans="1:9">
      <c r="A3" s="27" t="s">
        <v>54</v>
      </c>
      <c r="B3" s="27"/>
    </row>
    <row r="4" spans="1:9">
      <c r="A4" s="24" t="s">
        <v>55</v>
      </c>
      <c r="B4" s="24">
        <v>0.94318847421497964</v>
      </c>
    </row>
    <row r="5" spans="1:9">
      <c r="A5" s="24" t="s">
        <v>56</v>
      </c>
      <c r="B5" s="24">
        <v>0.88960449789198137</v>
      </c>
    </row>
    <row r="6" spans="1:9">
      <c r="A6" s="24" t="s">
        <v>57</v>
      </c>
      <c r="B6" s="24">
        <v>0.87580506012847903</v>
      </c>
    </row>
    <row r="7" spans="1:9">
      <c r="A7" s="24" t="s">
        <v>58</v>
      </c>
      <c r="B7" s="24">
        <v>4.742832855824159</v>
      </c>
    </row>
    <row r="8" spans="1:9" ht="15" thickBot="1">
      <c r="A8" s="25" t="s">
        <v>59</v>
      </c>
      <c r="B8" s="25">
        <v>10</v>
      </c>
    </row>
    <row r="10" spans="1:9" ht="15" thickBot="1">
      <c r="A10" t="s">
        <v>60</v>
      </c>
    </row>
    <row r="11" spans="1:9">
      <c r="A11" s="26"/>
      <c r="B11" s="26" t="s">
        <v>65</v>
      </c>
      <c r="C11" s="26" t="s">
        <v>66</v>
      </c>
      <c r="D11" s="26" t="s">
        <v>67</v>
      </c>
      <c r="E11" s="26" t="s">
        <v>43</v>
      </c>
      <c r="F11" s="26" t="s">
        <v>68</v>
      </c>
    </row>
    <row r="12" spans="1:9">
      <c r="A12" s="24" t="s">
        <v>61</v>
      </c>
      <c r="B12" s="24">
        <v>1</v>
      </c>
      <c r="C12" s="24">
        <v>1450.1442920137188</v>
      </c>
      <c r="D12" s="24">
        <v>1450.1442920137188</v>
      </c>
      <c r="E12" s="24">
        <v>64.466720538779228</v>
      </c>
      <c r="F12" s="24">
        <v>4.2540653575722489E-5</v>
      </c>
    </row>
    <row r="13" spans="1:9">
      <c r="A13" s="24" t="s">
        <v>62</v>
      </c>
      <c r="B13" s="24">
        <v>8</v>
      </c>
      <c r="C13" s="24">
        <v>179.95570798628117</v>
      </c>
      <c r="D13" s="24">
        <v>22.494463498285146</v>
      </c>
      <c r="E13" s="24"/>
      <c r="F13" s="24"/>
    </row>
    <row r="14" spans="1:9" ht="15" thickBot="1">
      <c r="A14" s="25" t="s">
        <v>63</v>
      </c>
      <c r="B14" s="25">
        <v>9</v>
      </c>
      <c r="C14" s="25">
        <v>1630.1</v>
      </c>
      <c r="D14" s="25"/>
      <c r="E14" s="25"/>
      <c r="F14" s="25"/>
    </row>
    <row r="15" spans="1:9" ht="15" thickBot="1"/>
    <row r="16" spans="1:9">
      <c r="A16" s="26"/>
      <c r="B16" s="26" t="s">
        <v>69</v>
      </c>
      <c r="C16" s="26" t="s">
        <v>58</v>
      </c>
      <c r="D16" s="26" t="s">
        <v>70</v>
      </c>
      <c r="E16" s="26" t="s">
        <v>71</v>
      </c>
      <c r="F16" s="26" t="s">
        <v>72</v>
      </c>
      <c r="G16" s="26" t="s">
        <v>73</v>
      </c>
      <c r="H16" s="26" t="s">
        <v>74</v>
      </c>
      <c r="I16" s="26" t="s">
        <v>75</v>
      </c>
    </row>
    <row r="17" spans="1:9">
      <c r="A17" s="24" t="s">
        <v>64</v>
      </c>
      <c r="B17" s="24">
        <v>34.586575208231238</v>
      </c>
      <c r="C17" s="24">
        <v>12.929718416662951</v>
      </c>
      <c r="D17" s="24">
        <v>2.6749673963246088</v>
      </c>
      <c r="E17" s="24">
        <v>2.8144682530857799E-2</v>
      </c>
      <c r="F17" s="24">
        <v>4.7705910970127547</v>
      </c>
      <c r="G17" s="24">
        <v>64.402559319449722</v>
      </c>
      <c r="H17" s="24">
        <v>4.7705910970127547</v>
      </c>
      <c r="I17" s="24">
        <v>64.402559319449722</v>
      </c>
    </row>
    <row r="18" spans="1:9" ht="15" thickBot="1">
      <c r="A18" s="25" t="s">
        <v>76</v>
      </c>
      <c r="B18" s="25">
        <v>1.1920627143557081</v>
      </c>
      <c r="C18" s="25">
        <v>0.14846747251564527</v>
      </c>
      <c r="D18" s="25">
        <v>8.0291170460256236</v>
      </c>
      <c r="E18" s="25">
        <v>4.2540653575722489E-5</v>
      </c>
      <c r="F18" s="25">
        <v>0.84969610907415705</v>
      </c>
      <c r="G18" s="25">
        <v>1.5344293196372591</v>
      </c>
      <c r="H18" s="25">
        <v>0.84969610907415705</v>
      </c>
      <c r="I18" s="25">
        <v>1.5344293196372591</v>
      </c>
    </row>
    <row r="22" spans="1:9">
      <c r="A22" t="s">
        <v>77</v>
      </c>
      <c r="E22" t="s">
        <v>81</v>
      </c>
    </row>
    <row r="23" spans="1:9" ht="15" thickBot="1"/>
    <row r="24" spans="1:9">
      <c r="A24" s="26" t="s">
        <v>78</v>
      </c>
      <c r="B24" s="26" t="s">
        <v>79</v>
      </c>
      <c r="C24" s="26" t="s">
        <v>80</v>
      </c>
      <c r="E24" s="26" t="s">
        <v>82</v>
      </c>
      <c r="F24" s="26" t="s">
        <v>83</v>
      </c>
    </row>
    <row r="25" spans="1:9">
      <c r="A25" s="24">
        <v>1</v>
      </c>
      <c r="B25" s="24">
        <v>127.56746692797647</v>
      </c>
      <c r="C25" s="24">
        <v>6.4325330720235314</v>
      </c>
      <c r="E25" s="24">
        <v>5</v>
      </c>
      <c r="F25" s="24">
        <v>124</v>
      </c>
    </row>
    <row r="26" spans="1:9">
      <c r="A26" s="24">
        <v>2</v>
      </c>
      <c r="B26" s="24">
        <v>125.18334149926505</v>
      </c>
      <c r="C26" s="24">
        <v>-0.18334149926505461</v>
      </c>
      <c r="E26" s="24">
        <v>15</v>
      </c>
      <c r="F26" s="24">
        <v>125</v>
      </c>
    </row>
    <row r="27" spans="1:9">
      <c r="A27" s="24">
        <v>3</v>
      </c>
      <c r="B27" s="24">
        <v>145.44840764331209</v>
      </c>
      <c r="C27" s="24">
        <v>-2.4484076433120947</v>
      </c>
      <c r="E27" s="24">
        <v>25</v>
      </c>
      <c r="F27" s="24">
        <v>125</v>
      </c>
    </row>
    <row r="28" spans="1:9">
      <c r="A28" s="24">
        <v>4</v>
      </c>
      <c r="B28" s="24">
        <v>139.48809407153357</v>
      </c>
      <c r="C28" s="24">
        <v>-3.4880940715335669</v>
      </c>
      <c r="E28" s="24">
        <v>35</v>
      </c>
      <c r="F28" s="24">
        <v>126</v>
      </c>
    </row>
    <row r="29" spans="1:9">
      <c r="A29" s="24">
        <v>5</v>
      </c>
      <c r="B29" s="24">
        <v>154.98490935815775</v>
      </c>
      <c r="C29" s="24">
        <v>1.0150906418422494</v>
      </c>
      <c r="E29" s="24">
        <v>45</v>
      </c>
      <c r="F29" s="24">
        <v>134</v>
      </c>
    </row>
    <row r="30" spans="1:9">
      <c r="A30" s="24">
        <v>6</v>
      </c>
      <c r="B30" s="24">
        <v>151.40872121509062</v>
      </c>
      <c r="C30" s="24">
        <v>-3.4087212150906225</v>
      </c>
      <c r="E30" s="24">
        <v>55</v>
      </c>
      <c r="F30" s="24">
        <v>136</v>
      </c>
    </row>
    <row r="31" spans="1:9">
      <c r="A31" s="24">
        <v>7</v>
      </c>
      <c r="B31" s="24">
        <v>152.60078392944632</v>
      </c>
      <c r="C31" s="24">
        <v>7.3992160705536776</v>
      </c>
      <c r="E31" s="24">
        <v>65</v>
      </c>
      <c r="F31" s="24">
        <v>143</v>
      </c>
    </row>
    <row r="32" spans="1:9">
      <c r="A32" s="24">
        <v>8</v>
      </c>
      <c r="B32" s="24">
        <v>120.41509064184223</v>
      </c>
      <c r="C32" s="24">
        <v>3.5849093581577733</v>
      </c>
      <c r="E32" s="24">
        <v>75</v>
      </c>
      <c r="F32" s="24">
        <v>148</v>
      </c>
    </row>
    <row r="33" spans="1:6">
      <c r="A33" s="24">
        <v>9</v>
      </c>
      <c r="B33" s="24">
        <v>129.95159235668788</v>
      </c>
      <c r="C33" s="24">
        <v>-3.9515923566878826</v>
      </c>
      <c r="E33" s="24">
        <v>85</v>
      </c>
      <c r="F33" s="24">
        <v>156</v>
      </c>
    </row>
    <row r="34" spans="1:6" ht="15" thickBot="1">
      <c r="A34" s="25">
        <v>10</v>
      </c>
      <c r="B34" s="25">
        <v>129.95159235668788</v>
      </c>
      <c r="C34" s="25">
        <v>-4.9515923566878826</v>
      </c>
      <c r="E34" s="25">
        <v>95</v>
      </c>
      <c r="F34" s="25">
        <v>160</v>
      </c>
    </row>
  </sheetData>
  <sortState ref="F25:F34">
    <sortCondition ref="F25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E17" sqref="E17"/>
    </sheetView>
  </sheetViews>
  <sheetFormatPr defaultRowHeight="14.5"/>
  <cols>
    <col min="8" max="8" width="9.453125" bestFit="1" customWidth="1"/>
    <col min="9" max="9" width="11" bestFit="1" customWidth="1"/>
    <col min="10" max="10" width="9.453125" bestFit="1" customWidth="1"/>
    <col min="14" max="14" width="11.81640625" bestFit="1" customWidth="1"/>
    <col min="17" max="17" width="25.90625" bestFit="1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15</v>
      </c>
      <c r="I1" s="3" t="s">
        <v>22</v>
      </c>
      <c r="J1" s="3" t="s">
        <v>23</v>
      </c>
      <c r="K1" s="3" t="s">
        <v>6</v>
      </c>
      <c r="L1" s="3" t="s">
        <v>7</v>
      </c>
      <c r="M1" s="4" t="s">
        <v>8</v>
      </c>
      <c r="N1" s="23" t="s">
        <v>50</v>
      </c>
    </row>
    <row r="2" spans="1:21">
      <c r="A2" s="5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6">
        <v>13</v>
      </c>
      <c r="N2" s="23">
        <v>14</v>
      </c>
      <c r="Q2" t="s">
        <v>13</v>
      </c>
      <c r="R2" s="1" t="s">
        <v>17</v>
      </c>
      <c r="S2" s="1" t="s">
        <v>18</v>
      </c>
      <c r="T2" s="1">
        <f t="array" ref="T2:U6">LINEST(B3:B12,C3:C12,,1)</f>
        <v>1.1920627143557081</v>
      </c>
      <c r="U2" s="1">
        <v>34.586575208231238</v>
      </c>
    </row>
    <row r="3" spans="1:21">
      <c r="A3" s="5">
        <v>1</v>
      </c>
      <c r="B3" s="1">
        <v>134</v>
      </c>
      <c r="C3" s="1">
        <v>78</v>
      </c>
      <c r="D3" s="1">
        <f>B3*C3</f>
        <v>10452</v>
      </c>
      <c r="E3" s="1">
        <f>C3*C3</f>
        <v>6084</v>
      </c>
      <c r="F3" s="1">
        <f>B3*B3</f>
        <v>17956</v>
      </c>
      <c r="G3" s="1">
        <f>$B$20+$B$19*C3</f>
        <v>128.58072023517883</v>
      </c>
      <c r="H3" s="1">
        <f>(B3-$B$14)^2</f>
        <v>13.689999999999916</v>
      </c>
      <c r="I3" s="1">
        <f>(G3-$B$14)^2</f>
        <v>83.161263429076641</v>
      </c>
      <c r="J3" s="1">
        <f>(B3-G3)^2</f>
        <v>29.368593169400189</v>
      </c>
      <c r="K3" s="1">
        <f>SQRT(C3/8)</f>
        <v>3.1224989991991992</v>
      </c>
      <c r="L3" s="1">
        <f>G3-K3*J25</f>
        <v>121.38022463680312</v>
      </c>
      <c r="M3" s="6">
        <f>G3+K3*J25</f>
        <v>135.78121583355454</v>
      </c>
      <c r="N3">
        <f t="array" ref="N3:N12">TREND(B3:B12,C3:C12,,)</f>
        <v>127.56746692797647</v>
      </c>
      <c r="Q3" t="s">
        <v>14</v>
      </c>
      <c r="R3" s="1" t="s">
        <v>17</v>
      </c>
      <c r="S3" s="1" t="s">
        <v>35</v>
      </c>
      <c r="T3" s="1">
        <v>0.14846747251564527</v>
      </c>
      <c r="U3" s="1">
        <v>12.929718416662951</v>
      </c>
    </row>
    <row r="4" spans="1:21">
      <c r="A4" s="5">
        <v>2</v>
      </c>
      <c r="B4" s="1">
        <v>125</v>
      </c>
      <c r="C4" s="1">
        <v>76</v>
      </c>
      <c r="D4" s="1">
        <f t="shared" ref="D4:D12" si="0">B4*C4</f>
        <v>9500</v>
      </c>
      <c r="E4" s="1">
        <f t="shared" ref="E4:E12" si="1">C4*C4</f>
        <v>5776</v>
      </c>
      <c r="F4" s="1">
        <f t="shared" ref="F4:F12" si="2">B4*B4</f>
        <v>15625</v>
      </c>
      <c r="G4" s="1">
        <f t="shared" ref="G4:G12" si="3">$B$20+$B$19*C4</f>
        <v>126.43500734933855</v>
      </c>
      <c r="H4" s="1">
        <f t="shared" ref="H4:H12" si="4">(B4-$B$14)^2</f>
        <v>161.28999999999971</v>
      </c>
      <c r="I4" s="1">
        <f t="shared" ref="I4:I12" si="5">(G4-$B$14)^2</f>
        <v>126.90005941945627</v>
      </c>
      <c r="J4" s="1">
        <f t="shared" ref="J4:J12" si="6">(B4-G4)^2</f>
        <v>2.0592460926556457</v>
      </c>
      <c r="K4" s="1">
        <f t="shared" ref="K4:K12" si="7">SQRT(C4/8)</f>
        <v>3.082207001484488</v>
      </c>
      <c r="L4" s="1">
        <f t="shared" ref="L4:L12" si="8">G4-K4*J26</f>
        <v>126.43500734933855</v>
      </c>
      <c r="M4" s="6">
        <f t="shared" ref="M4:M12" si="9">G4+K4*J26</f>
        <v>126.43500734933855</v>
      </c>
      <c r="N4">
        <v>125.18334149926505</v>
      </c>
      <c r="R4" s="1" t="s">
        <v>51</v>
      </c>
      <c r="S4" s="1" t="s">
        <v>32</v>
      </c>
      <c r="T4" s="1">
        <v>0.88960449789198137</v>
      </c>
      <c r="U4" s="1">
        <v>4.742832855824159</v>
      </c>
    </row>
    <row r="5" spans="1:21">
      <c r="A5" s="5">
        <v>3</v>
      </c>
      <c r="B5" s="1">
        <v>143</v>
      </c>
      <c r="C5" s="1">
        <v>93</v>
      </c>
      <c r="D5" s="1">
        <f t="shared" si="0"/>
        <v>13299</v>
      </c>
      <c r="E5" s="1">
        <f t="shared" si="1"/>
        <v>8649</v>
      </c>
      <c r="F5" s="1">
        <f t="shared" si="2"/>
        <v>20449</v>
      </c>
      <c r="G5" s="1">
        <f t="shared" si="3"/>
        <v>144.67356687898086</v>
      </c>
      <c r="H5" s="1">
        <f t="shared" si="4"/>
        <v>28.090000000000121</v>
      </c>
      <c r="I5" s="1">
        <f t="shared" si="5"/>
        <v>48.63063501561907</v>
      </c>
      <c r="J5" s="1">
        <f t="shared" si="6"/>
        <v>2.8008260984217506</v>
      </c>
      <c r="K5" s="1">
        <f t="shared" si="7"/>
        <v>3.4095454242464638</v>
      </c>
      <c r="L5" s="1">
        <f t="shared" si="8"/>
        <v>144.6387078010614</v>
      </c>
      <c r="M5" s="6">
        <f t="shared" si="9"/>
        <v>144.70842595690033</v>
      </c>
      <c r="N5">
        <v>145.44840764331209</v>
      </c>
      <c r="Q5">
        <f>FORECAST(C5,B3:B12,C3:C12)</f>
        <v>145.44840764331207</v>
      </c>
      <c r="R5" s="1" t="s">
        <v>43</v>
      </c>
      <c r="S5" s="1" t="s">
        <v>52</v>
      </c>
      <c r="T5" s="1">
        <v>64.466720538779228</v>
      </c>
      <c r="U5" s="1">
        <v>8</v>
      </c>
    </row>
    <row r="6" spans="1:21">
      <c r="A6" s="5">
        <v>4</v>
      </c>
      <c r="B6" s="1">
        <v>136</v>
      </c>
      <c r="C6" s="1">
        <v>88</v>
      </c>
      <c r="D6" s="1">
        <f t="shared" si="0"/>
        <v>11968</v>
      </c>
      <c r="E6" s="1">
        <f t="shared" si="1"/>
        <v>7744</v>
      </c>
      <c r="F6" s="1">
        <f t="shared" si="2"/>
        <v>18496</v>
      </c>
      <c r="G6" s="1">
        <f t="shared" si="3"/>
        <v>139.30928466438019</v>
      </c>
      <c r="H6" s="1">
        <f t="shared" si="4"/>
        <v>2.8899999999999615</v>
      </c>
      <c r="I6" s="1">
        <f t="shared" si="5"/>
        <v>2.5897971310092855</v>
      </c>
      <c r="J6" s="1">
        <f t="shared" si="6"/>
        <v>10.951364989901883</v>
      </c>
      <c r="K6" s="1">
        <f t="shared" si="7"/>
        <v>3.3166247903553998</v>
      </c>
      <c r="L6" s="1">
        <f t="shared" si="8"/>
        <v>139.30889252216269</v>
      </c>
      <c r="M6" s="6">
        <f t="shared" si="9"/>
        <v>139.30967680659768</v>
      </c>
      <c r="N6">
        <v>139.48809407153357</v>
      </c>
      <c r="R6" s="1" t="s">
        <v>27</v>
      </c>
      <c r="S6" s="1" t="s">
        <v>30</v>
      </c>
      <c r="T6" s="1">
        <v>1450.1442920137188</v>
      </c>
      <c r="U6" s="1">
        <v>179.95570798628117</v>
      </c>
    </row>
    <row r="7" spans="1:21">
      <c r="A7" s="5">
        <v>5</v>
      </c>
      <c r="B7" s="1">
        <v>156</v>
      </c>
      <c r="C7" s="1">
        <v>101</v>
      </c>
      <c r="D7" s="1">
        <f t="shared" si="0"/>
        <v>15756</v>
      </c>
      <c r="E7" s="1">
        <f t="shared" si="1"/>
        <v>10201</v>
      </c>
      <c r="F7" s="1">
        <f t="shared" si="2"/>
        <v>24336</v>
      </c>
      <c r="G7" s="1">
        <f t="shared" si="3"/>
        <v>153.25641842234199</v>
      </c>
      <c r="H7" s="1">
        <f t="shared" si="4"/>
        <v>334.89000000000044</v>
      </c>
      <c r="I7" s="1">
        <f t="shared" si="5"/>
        <v>242.00215413098175</v>
      </c>
      <c r="J7" s="1">
        <f t="shared" si="6"/>
        <v>7.5272398732643913</v>
      </c>
      <c r="K7" s="1">
        <f t="shared" si="7"/>
        <v>3.5531676008879738</v>
      </c>
      <c r="L7" s="1">
        <f t="shared" si="8"/>
        <v>153.25641842234199</v>
      </c>
      <c r="M7" s="6">
        <f t="shared" si="9"/>
        <v>153.25641842234199</v>
      </c>
      <c r="N7">
        <v>154.98490935815775</v>
      </c>
    </row>
    <row r="8" spans="1:21">
      <c r="A8" s="5">
        <v>6</v>
      </c>
      <c r="B8" s="1">
        <v>148</v>
      </c>
      <c r="C8" s="1">
        <v>98</v>
      </c>
      <c r="D8" s="1">
        <f t="shared" si="0"/>
        <v>14504</v>
      </c>
      <c r="E8" s="1">
        <f t="shared" si="1"/>
        <v>9604</v>
      </c>
      <c r="F8" s="1">
        <f t="shared" si="2"/>
        <v>21904</v>
      </c>
      <c r="G8" s="1">
        <f t="shared" si="3"/>
        <v>150.03784909358154</v>
      </c>
      <c r="H8" s="1">
        <f t="shared" si="4"/>
        <v>106.09000000000023</v>
      </c>
      <c r="I8" s="1">
        <f t="shared" si="5"/>
        <v>152.22252025599116</v>
      </c>
      <c r="J8" s="1">
        <f t="shared" si="6"/>
        <v>4.1528289282111128</v>
      </c>
      <c r="K8" s="1">
        <f t="shared" si="7"/>
        <v>3.5</v>
      </c>
      <c r="L8" s="1">
        <f t="shared" si="8"/>
        <v>150.03784909358154</v>
      </c>
      <c r="M8" s="6">
        <f t="shared" si="9"/>
        <v>150.03784909358154</v>
      </c>
      <c r="N8">
        <v>151.40872121509062</v>
      </c>
    </row>
    <row r="9" spans="1:21">
      <c r="A9" s="5">
        <v>7</v>
      </c>
      <c r="B9" s="1">
        <v>160</v>
      </c>
      <c r="C9" s="1">
        <v>99</v>
      </c>
      <c r="D9" s="1">
        <f t="shared" si="0"/>
        <v>15840</v>
      </c>
      <c r="E9" s="1">
        <f t="shared" si="1"/>
        <v>9801</v>
      </c>
      <c r="F9" s="1">
        <f t="shared" si="2"/>
        <v>25600</v>
      </c>
      <c r="G9" s="1">
        <f t="shared" si="3"/>
        <v>151.11070553650171</v>
      </c>
      <c r="H9" s="1">
        <f t="shared" si="4"/>
        <v>497.29000000000053</v>
      </c>
      <c r="I9" s="1">
        <f t="shared" si="5"/>
        <v>179.84702298675796</v>
      </c>
      <c r="J9" s="1">
        <f t="shared" si="6"/>
        <v>79.019556058781319</v>
      </c>
      <c r="K9" s="1">
        <f t="shared" si="7"/>
        <v>3.5178118198675721</v>
      </c>
      <c r="L9" s="1">
        <f t="shared" si="8"/>
        <v>151.11070553650171</v>
      </c>
      <c r="M9" s="6">
        <f t="shared" si="9"/>
        <v>151.11070553650171</v>
      </c>
      <c r="N9">
        <v>152.60078392944632</v>
      </c>
    </row>
    <row r="10" spans="1:21">
      <c r="A10" s="5">
        <v>8</v>
      </c>
      <c r="B10" s="1">
        <v>124</v>
      </c>
      <c r="C10" s="1">
        <v>72</v>
      </c>
      <c r="D10" s="1">
        <f t="shared" si="0"/>
        <v>8928</v>
      </c>
      <c r="E10" s="1">
        <f t="shared" si="1"/>
        <v>5184</v>
      </c>
      <c r="F10" s="1">
        <f t="shared" si="2"/>
        <v>15376</v>
      </c>
      <c r="G10" s="1">
        <f t="shared" si="3"/>
        <v>122.143581577658</v>
      </c>
      <c r="H10" s="1">
        <f t="shared" si="4"/>
        <v>187.68999999999969</v>
      </c>
      <c r="I10" s="1">
        <f t="shared" si="5"/>
        <v>242.0021541309813</v>
      </c>
      <c r="J10" s="1">
        <f t="shared" si="6"/>
        <v>3.4462893588107706</v>
      </c>
      <c r="K10" s="1">
        <f t="shared" si="7"/>
        <v>3</v>
      </c>
      <c r="L10" s="1">
        <f t="shared" si="8"/>
        <v>122.143581577658</v>
      </c>
      <c r="M10" s="6">
        <f t="shared" si="9"/>
        <v>122.143581577658</v>
      </c>
      <c r="N10">
        <v>120.41509064184223</v>
      </c>
    </row>
    <row r="11" spans="1:21">
      <c r="A11" s="5">
        <v>9</v>
      </c>
      <c r="B11" s="1">
        <v>126</v>
      </c>
      <c r="C11" s="1">
        <v>80</v>
      </c>
      <c r="D11" s="1">
        <f t="shared" si="0"/>
        <v>10080</v>
      </c>
      <c r="E11" s="1">
        <f t="shared" si="1"/>
        <v>6400</v>
      </c>
      <c r="F11" s="1">
        <f t="shared" si="2"/>
        <v>15876</v>
      </c>
      <c r="G11" s="1">
        <f t="shared" si="3"/>
        <v>130.72643312101911</v>
      </c>
      <c r="H11" s="1">
        <f t="shared" si="4"/>
        <v>136.88999999999973</v>
      </c>
      <c r="I11" s="1">
        <f t="shared" si="5"/>
        <v>48.63063501561907</v>
      </c>
      <c r="J11" s="1">
        <f t="shared" si="6"/>
        <v>22.339170047466475</v>
      </c>
      <c r="K11" s="1">
        <f t="shared" si="7"/>
        <v>3.1622776601683795</v>
      </c>
      <c r="L11" s="1">
        <f t="shared" si="8"/>
        <v>130.72643312101911</v>
      </c>
      <c r="M11" s="6">
        <f t="shared" si="9"/>
        <v>130.72643312101911</v>
      </c>
      <c r="N11">
        <v>129.95159235668788</v>
      </c>
    </row>
    <row r="12" spans="1:21">
      <c r="A12" s="5">
        <v>10</v>
      </c>
      <c r="B12" s="1">
        <v>125</v>
      </c>
      <c r="C12" s="1">
        <v>80</v>
      </c>
      <c r="D12" s="1">
        <f t="shared" si="0"/>
        <v>10000</v>
      </c>
      <c r="E12" s="1">
        <f t="shared" si="1"/>
        <v>6400</v>
      </c>
      <c r="F12" s="1">
        <f t="shared" si="2"/>
        <v>15625</v>
      </c>
      <c r="G12" s="1">
        <f t="shared" si="3"/>
        <v>130.72643312101911</v>
      </c>
      <c r="H12" s="1">
        <f t="shared" si="4"/>
        <v>161.28999999999971</v>
      </c>
      <c r="I12" s="1">
        <f t="shared" si="5"/>
        <v>48.63063501561907</v>
      </c>
      <c r="J12" s="1">
        <f t="shared" si="6"/>
        <v>32.792036289504701</v>
      </c>
      <c r="K12" s="1">
        <f t="shared" si="7"/>
        <v>3.1622776601683795</v>
      </c>
      <c r="L12" s="1">
        <f t="shared" si="8"/>
        <v>130.72643312101911</v>
      </c>
      <c r="M12" s="6">
        <f t="shared" si="9"/>
        <v>130.72643312101911</v>
      </c>
      <c r="N12">
        <v>129.95159235668788</v>
      </c>
    </row>
    <row r="13" spans="1:21">
      <c r="A13" s="5" t="s">
        <v>9</v>
      </c>
      <c r="B13" s="1">
        <f>SUM(B3:B12)</f>
        <v>1377</v>
      </c>
      <c r="C13" s="1">
        <f t="shared" ref="C13:F13" si="10">SUM(C3:C12)</f>
        <v>865</v>
      </c>
      <c r="D13" s="1">
        <f t="shared" si="10"/>
        <v>120327</v>
      </c>
      <c r="E13" s="1">
        <f t="shared" si="10"/>
        <v>75843</v>
      </c>
      <c r="F13" s="1">
        <f t="shared" si="10"/>
        <v>191243</v>
      </c>
      <c r="G13" s="1">
        <f t="shared" ref="G13" si="11">SUM(G3:G12)</f>
        <v>1377</v>
      </c>
      <c r="H13" s="1">
        <f t="shared" ref="H13" si="12">SUM(H3:H12)</f>
        <v>1630.1</v>
      </c>
      <c r="I13" s="1">
        <f t="shared" ref="I13" si="13">SUM(I3:I12)</f>
        <v>1174.6168765311113</v>
      </c>
      <c r="J13" s="1">
        <f t="shared" ref="J13" si="14">SUM(J3:J12)</f>
        <v>194.45715090641821</v>
      </c>
      <c r="K13" s="1"/>
      <c r="L13" s="1"/>
      <c r="M13" s="6"/>
    </row>
    <row r="14" spans="1:21">
      <c r="A14" s="5" t="s">
        <v>10</v>
      </c>
      <c r="B14" s="1">
        <f>AVERAGE(B3:B12)</f>
        <v>137.69999999999999</v>
      </c>
      <c r="C14" s="1">
        <f t="shared" ref="C14:F14" si="15">AVERAGE(C3:C12)</f>
        <v>86.5</v>
      </c>
      <c r="D14" s="1">
        <f t="shared" si="15"/>
        <v>12032.7</v>
      </c>
      <c r="E14" s="1">
        <f t="shared" si="15"/>
        <v>7584.3</v>
      </c>
      <c r="F14" s="1">
        <f t="shared" si="15"/>
        <v>19124.3</v>
      </c>
      <c r="G14" s="1"/>
      <c r="H14" s="1"/>
      <c r="I14" s="1"/>
      <c r="J14" s="1"/>
      <c r="K14" s="1"/>
      <c r="L14" s="1"/>
      <c r="M14" s="6"/>
    </row>
    <row r="15" spans="1:21">
      <c r="A15" s="5" t="s">
        <v>11</v>
      </c>
      <c r="B15" s="1">
        <f>STDEVP(B3:B12)</f>
        <v>12.767536959022284</v>
      </c>
      <c r="C15" s="1">
        <f>STDEVP(C3:C12)</f>
        <v>10.101980003939822</v>
      </c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1:21" ht="15" thickBot="1">
      <c r="A16" s="7" t="s">
        <v>12</v>
      </c>
      <c r="B16" s="8">
        <f>VAR(B3:B12)</f>
        <v>181.12222222222286</v>
      </c>
      <c r="C16" s="8">
        <f>VAR(C3:C12)</f>
        <v>113.38888888888889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5" ht="15" thickBot="1">
      <c r="C17" t="s">
        <v>19</v>
      </c>
      <c r="H17" t="s">
        <v>19</v>
      </c>
      <c r="L17" t="s">
        <v>19</v>
      </c>
    </row>
    <row r="18" spans="1:15" ht="15" thickBot="1">
      <c r="A18" s="10" t="s">
        <v>16</v>
      </c>
      <c r="B18" s="11"/>
      <c r="C18" s="12">
        <f>COVAR(B3:B12,C3:C12)</f>
        <v>121.65</v>
      </c>
      <c r="F18" s="10" t="s">
        <v>24</v>
      </c>
      <c r="G18" s="12">
        <f>H13</f>
        <v>1630.1</v>
      </c>
      <c r="I18" s="19" t="s">
        <v>33</v>
      </c>
      <c r="J18" s="20">
        <f>1-G26/G18</f>
        <v>0.88070845291306166</v>
      </c>
      <c r="K18" s="21">
        <f>G22/G18</f>
        <v>0.72057964329250435</v>
      </c>
      <c r="L18">
        <f>RSQ(B3:B12,C3:C12)</f>
        <v>0.88960449789198137</v>
      </c>
    </row>
    <row r="19" spans="1:15" ht="15" thickBot="1">
      <c r="A19" s="13" t="s">
        <v>17</v>
      </c>
      <c r="B19" s="14">
        <f>C18/C16</f>
        <v>1.0728564429201373</v>
      </c>
      <c r="C19" s="15">
        <f>SLOPE(B3:B12,C3:C12)</f>
        <v>1.1920627143557079</v>
      </c>
      <c r="F19" s="13" t="s">
        <v>25</v>
      </c>
      <c r="G19" s="15">
        <f>G18/9</f>
        <v>181.12222222222221</v>
      </c>
      <c r="N19" t="s">
        <v>19</v>
      </c>
    </row>
    <row r="20" spans="1:15" ht="15" thickBot="1">
      <c r="A20" s="13" t="s">
        <v>18</v>
      </c>
      <c r="B20" s="14">
        <f>B14-B19*C14</f>
        <v>44.897917687408111</v>
      </c>
      <c r="C20" s="15">
        <f>INTERCEPT(B3:B12,C3:C12)</f>
        <v>34.586575208231253</v>
      </c>
      <c r="F20" s="16" t="s">
        <v>26</v>
      </c>
      <c r="G20" s="18">
        <f>SQRT(G19)</f>
        <v>13.458165633630097</v>
      </c>
      <c r="I20" s="10" t="s">
        <v>34</v>
      </c>
      <c r="J20" s="12">
        <f>G28/(C15*SQRT(10))</f>
        <v>0.15433359092848264</v>
      </c>
      <c r="L20" s="10" t="s">
        <v>43</v>
      </c>
      <c r="M20" s="12">
        <f>G23/G27</f>
        <v>48.323936499363455</v>
      </c>
      <c r="N20">
        <f>J23^2</f>
        <v>48.323936499363526</v>
      </c>
      <c r="O20">
        <f>J18*8/(1-J18)</f>
        <v>59.062589054777618</v>
      </c>
    </row>
    <row r="21" spans="1:15" ht="15" thickBot="1">
      <c r="A21" s="16" t="s">
        <v>20</v>
      </c>
      <c r="B21" s="17">
        <f>B19*C15/B15</f>
        <v>0.84886962679348188</v>
      </c>
      <c r="C21" s="18">
        <f>CORREL(B3:B12,C3:C12)</f>
        <v>0.94318847421497964</v>
      </c>
      <c r="I21" s="16" t="s">
        <v>35</v>
      </c>
      <c r="J21" s="18">
        <f>J20*SQRT(E14)</f>
        <v>13.440586272036434</v>
      </c>
      <c r="L21" s="16" t="s">
        <v>44</v>
      </c>
      <c r="M21" s="18">
        <f>FINV(0.05,1,8)</f>
        <v>5.3176550627926122</v>
      </c>
      <c r="N21">
        <f>J25^2</f>
        <v>5.3176550627926131</v>
      </c>
    </row>
    <row r="22" spans="1:15" ht="15" thickBot="1">
      <c r="F22" s="10" t="s">
        <v>27</v>
      </c>
      <c r="G22" s="12">
        <f>I13</f>
        <v>1174.6168765311113</v>
      </c>
    </row>
    <row r="23" spans="1:15" ht="15" thickBot="1">
      <c r="F23" s="13" t="s">
        <v>28</v>
      </c>
      <c r="G23" s="15">
        <f>G22/1</f>
        <v>1174.6168765311113</v>
      </c>
      <c r="I23" s="10" t="s">
        <v>36</v>
      </c>
      <c r="J23" s="12">
        <f>B19/J20</f>
        <v>6.9515420231315241</v>
      </c>
      <c r="L23" s="19" t="s">
        <v>45</v>
      </c>
      <c r="M23" s="21">
        <f>FDIST(M20,1,8)</f>
        <v>1.182353272648094E-4</v>
      </c>
      <c r="N23" t="s">
        <v>41</v>
      </c>
    </row>
    <row r="24" spans="1:15" ht="15" thickBot="1">
      <c r="F24" s="16" t="s">
        <v>29</v>
      </c>
      <c r="G24" s="18">
        <f>SQRT(G23)</f>
        <v>34.272684116233314</v>
      </c>
      <c r="I24" s="13" t="s">
        <v>37</v>
      </c>
      <c r="J24" s="15">
        <f>B20/J21</f>
        <v>3.3404731593308288</v>
      </c>
    </row>
    <row r="25" spans="1:15" ht="15" thickBot="1">
      <c r="I25" s="22" t="s">
        <v>38</v>
      </c>
      <c r="J25" s="18">
        <f>TINV(0.05,8)</f>
        <v>2.3060041332991172</v>
      </c>
      <c r="K25" t="s">
        <v>42</v>
      </c>
      <c r="L25" t="s">
        <v>46</v>
      </c>
      <c r="M25">
        <f>B19-J25*J20</f>
        <v>0.71696254433216122</v>
      </c>
    </row>
    <row r="26" spans="1:15" ht="15" thickBot="1">
      <c r="F26" s="10" t="s">
        <v>30</v>
      </c>
      <c r="G26" s="12">
        <f>J13</f>
        <v>194.45715090641821</v>
      </c>
      <c r="L26" t="s">
        <v>47</v>
      </c>
      <c r="M26">
        <f>B20-J25*J21</f>
        <v>13.903870190128721</v>
      </c>
    </row>
    <row r="27" spans="1:15">
      <c r="F27" s="13" t="s">
        <v>31</v>
      </c>
      <c r="G27" s="15">
        <f>G26/8</f>
        <v>24.307143863302276</v>
      </c>
      <c r="I27" s="10" t="s">
        <v>39</v>
      </c>
      <c r="J27" s="12">
        <f>TDIST(J24,8,2)</f>
        <v>1.0223966418389945E-2</v>
      </c>
      <c r="K27" t="s">
        <v>41</v>
      </c>
      <c r="L27" t="s">
        <v>48</v>
      </c>
      <c r="M27">
        <f>B19+J25*J20</f>
        <v>1.4287503415081133</v>
      </c>
    </row>
    <row r="28" spans="1:15" ht="15" thickBot="1">
      <c r="F28" s="16" t="s">
        <v>32</v>
      </c>
      <c r="G28" s="18">
        <f>SQRT(G27)</f>
        <v>4.9302275670908209</v>
      </c>
      <c r="H28">
        <f>STEYX(B3:B12,C3:C12)</f>
        <v>4.7428328558241581</v>
      </c>
      <c r="I28" s="16" t="s">
        <v>40</v>
      </c>
      <c r="J28" s="18">
        <f>TDIST(J23,8,2)</f>
        <v>1.1823532726480877E-4</v>
      </c>
      <c r="K28" t="s">
        <v>41</v>
      </c>
      <c r="L28" t="s">
        <v>49</v>
      </c>
      <c r="M28">
        <f>B20+J25*J21</f>
        <v>75.891965184687507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2016-10-09T14:45:50Z</dcterms:modified>
</cp:coreProperties>
</file>