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codeName="ThisWorkbook" hidePivotFieldList="1" defaultThemeVersion="124226"/>
  <mc:AlternateContent xmlns:mc="http://schemas.openxmlformats.org/markup-compatibility/2006">
    <mc:Choice Requires="x15">
      <x15ac:absPath xmlns:x15ac="http://schemas.microsoft.com/office/spreadsheetml/2010/11/ac" url="C:\Users\morga\Documents\Wake Forest\Portfolio_Builder\Decision Science\"/>
    </mc:Choice>
  </mc:AlternateContent>
  <xr:revisionPtr revIDLastSave="0" documentId="13_ncr:1_{6BB50126-741A-4A25-B303-EF35262E0143}" xr6:coauthVersionLast="47" xr6:coauthVersionMax="47" xr10:uidLastSave="{00000000-0000-0000-0000-000000000000}"/>
  <bookViews>
    <workbookView xWindow="-120" yWindow="-120" windowWidth="29040" windowHeight="15720" xr2:uid="{00000000-000D-0000-FFFF-FFFF00000000}"/>
  </bookViews>
  <sheets>
    <sheet name="DEAModel_Airports &gt;=$100M" sheetId="2" r:id="rId1"/>
    <sheet name="DEA &lt;=$100M" sheetId="6" state="hidden" r:id="rId2"/>
    <sheet name="DEA&lt;=$100M " sheetId="10" state="hidden" r:id="rId3"/>
    <sheet name="DEA&gt;=$100M" sheetId="4" state="hidden" r:id="rId4"/>
    <sheet name="Pivot" sheetId="11" state="hidden" r:id="rId5"/>
    <sheet name="Raw Data_Airports" sheetId="3" r:id="rId6"/>
    <sheet name="Concats" sheetId="12" state="hidden" r:id="rId7"/>
  </sheets>
  <definedNames>
    <definedName name="_xlnm._FilterDatabase" localSheetId="1" hidden="1">'DEA &lt;=$100M'!$A$32:$B$32</definedName>
    <definedName name="_xlnm._FilterDatabase" localSheetId="0" hidden="1">'DEAModel_Airports &gt;=$100M'!$E$56:$F$56</definedName>
    <definedName name="_xlnm._FilterDatabase" localSheetId="5" hidden="1">'Raw Data_Airports'!$B$2:$I$91</definedName>
    <definedName name="_xlchart.v1.0" hidden="1">'DEA &lt;=$100M'!$B$33:$B$92</definedName>
    <definedName name="_xlchart.v1.1" hidden="1">'DEAModel_Airports &gt;=$100M'!$F$57:$F$85</definedName>
    <definedName name="anscount" hidden="1">4</definedName>
    <definedName name="lssolver_est" localSheetId="1" hidden="1">2</definedName>
    <definedName name="lssolver_est" localSheetId="0" hidden="1">2</definedName>
    <definedName name="lssolver_itr" localSheetId="1" hidden="1">0</definedName>
    <definedName name="lssolver_itr" localSheetId="0" hidden="1">0</definedName>
    <definedName name="lssolver_neg" localSheetId="1" hidden="1">0</definedName>
    <definedName name="lssolver_neg" localSheetId="0" hidden="1">0</definedName>
    <definedName name="lssolver_piv" localSheetId="1" hidden="1">0</definedName>
    <definedName name="lssolver_piv" localSheetId="0" hidden="1">0</definedName>
    <definedName name="lssolver_pre" localSheetId="1" hidden="1">0</definedName>
    <definedName name="lssolver_pre" localSheetId="0" hidden="1">0</definedName>
    <definedName name="lssolver_red" localSheetId="1" hidden="1">0</definedName>
    <definedName name="lssolver_red" localSheetId="0" hidden="1">0</definedName>
    <definedName name="lssolver_rep" localSheetId="1" hidden="1">2</definedName>
    <definedName name="lssolver_rep" localSheetId="0" hidden="1">2</definedName>
    <definedName name="lssolver_scl" localSheetId="1" hidden="1">0</definedName>
    <definedName name="lssolver_scl" localSheetId="0" hidden="1">0</definedName>
    <definedName name="lssolver_sho" localSheetId="1" hidden="1">2</definedName>
    <definedName name="lssolver_sho" localSheetId="0" hidden="1">2</definedName>
    <definedName name="lssolver_sol" localSheetId="1" hidden="1">0</definedName>
    <definedName name="lssolver_sol" localSheetId="0" hidden="1">0</definedName>
    <definedName name="lssolver_tim" localSheetId="1" hidden="1">0</definedName>
    <definedName name="lssolver_tim" localSheetId="0" hidden="1">0</definedName>
    <definedName name="lssolver_tol" localSheetId="1" hidden="1">0</definedName>
    <definedName name="lssolver_tol" localSheetId="0" hidden="1">0</definedName>
    <definedName name="objValue" localSheetId="1">#REF!</definedName>
    <definedName name="objValue" localSheetId="0">#REF!</definedName>
    <definedName name="objValue">#REF!</definedName>
    <definedName name="qpsolver_itr" localSheetId="1" hidden="1">100</definedName>
    <definedName name="qpsolver_itr" localSheetId="0" hidden="1">100</definedName>
    <definedName name="qpsolver_lin" localSheetId="1" hidden="1">1</definedName>
    <definedName name="qpsolver_lin" localSheetId="0" hidden="1">1</definedName>
    <definedName name="qpsolver_neg" localSheetId="1" hidden="1">1</definedName>
    <definedName name="qpsolver_neg" localSheetId="0" hidden="1">1</definedName>
    <definedName name="qpsolver_piv" localSheetId="1" hidden="1">0.000001</definedName>
    <definedName name="qpsolver_piv" localSheetId="0" hidden="1">0.000001</definedName>
    <definedName name="qpsolver_pre" localSheetId="1" hidden="1">0.00000001</definedName>
    <definedName name="qpsolver_pre" localSheetId="0" hidden="1">0.00000001</definedName>
    <definedName name="qpsolver_red" localSheetId="1" hidden="1">0.000001</definedName>
    <definedName name="qpsolver_red" localSheetId="0" hidden="1">0.000001</definedName>
    <definedName name="qpsolver_rep" localSheetId="1" hidden="1">2</definedName>
    <definedName name="qpsolver_rep" localSheetId="0" hidden="1">2</definedName>
    <definedName name="qpsolver_scl" localSheetId="1" hidden="1">2</definedName>
    <definedName name="qpsolver_scl" localSheetId="0" hidden="1">2</definedName>
    <definedName name="qpsolver_sho" localSheetId="1" hidden="1">2</definedName>
    <definedName name="qpsolver_sho" localSheetId="0" hidden="1">2</definedName>
    <definedName name="qpsolver_tim" localSheetId="1" hidden="1">100</definedName>
    <definedName name="qpsolver_tim" localSheetId="0" hidden="1">100</definedName>
    <definedName name="qpsolver_tol" localSheetId="1" hidden="1">0.05</definedName>
    <definedName name="qpsolver_tol" localSheetId="0" hidden="1">0.05</definedName>
    <definedName name="sencount" hidden="1">19</definedName>
    <definedName name="Slicer_Airport">#N/A</definedName>
    <definedName name="Slicer_DEA__100M">#N/A</definedName>
    <definedName name="solver_adj" localSheetId="1" hidden="1">'DEA &lt;=$100M'!$B$18:$BJ$18</definedName>
    <definedName name="solver_adj" localSheetId="0" hidden="1">'DEAModel_Airports &gt;=$100M'!$F$39:$AI$39</definedName>
    <definedName name="solver_cvg" localSheetId="1" hidden="1">0.0001</definedName>
    <definedName name="solver_cvg" localSheetId="0" hidden="1">0.0001</definedName>
    <definedName name="solver_drv" localSheetId="1" hidden="1">1</definedName>
    <definedName name="solver_drv" localSheetId="0" hidden="1">1</definedName>
    <definedName name="solver_eng" localSheetId="1" hidden="1">2</definedName>
    <definedName name="solver_eng" localSheetId="0" hidden="1">2</definedName>
    <definedName name="solver_est" localSheetId="1" hidden="1">1</definedName>
    <definedName name="solver_est" localSheetId="0" hidden="1">1</definedName>
    <definedName name="solver_ibd" localSheetId="1" hidden="1">2</definedName>
    <definedName name="solver_ibd" localSheetId="0" hidden="1">2</definedName>
    <definedName name="solver_itr" localSheetId="1" hidden="1">100</definedName>
    <definedName name="solver_itr" localSheetId="0" hidden="1">100</definedName>
    <definedName name="solver_lhs1" localSheetId="1" hidden="1">'DEA &lt;=$100M'!$B$21</definedName>
    <definedName name="solver_lhs1" localSheetId="0" hidden="1">'DEAModel_Airports &gt;=$100M'!$F$43</definedName>
    <definedName name="solver_lhs2" localSheetId="1" hidden="1">'DEA &lt;=$100M'!$B$22:$B$25</definedName>
    <definedName name="solver_lhs2" localSheetId="0" hidden="1">'DEAModel_Airports &gt;=$100M'!$F$44:$F$47</definedName>
    <definedName name="solver_lhs3" localSheetId="1" hidden="1">'DEA &lt;=$100M'!$B$26:$B$27</definedName>
    <definedName name="solver_lhs3" localSheetId="0" hidden="1">'DEAModel_Airports &gt;=$100M'!$F$48:$F$49</definedName>
    <definedName name="solver_lin" localSheetId="1" hidden="1">1</definedName>
    <definedName name="solver_lin" localSheetId="0" hidden="1">1</definedName>
    <definedName name="solver_lva" localSheetId="1" hidden="1">2</definedName>
    <definedName name="solver_lva" localSheetId="0" hidden="1">2</definedName>
    <definedName name="solver_mip" localSheetId="1" hidden="1">5000</definedName>
    <definedName name="solver_mip" localSheetId="0" hidden="1">5000</definedName>
    <definedName name="solver_mni" localSheetId="1" hidden="1">30</definedName>
    <definedName name="solver_mni" localSheetId="0" hidden="1">30</definedName>
    <definedName name="solver_mrt" localSheetId="1" hidden="1">0.075</definedName>
    <definedName name="solver_mrt" localSheetId="0" hidden="1">0.075</definedName>
    <definedName name="solver_msl" localSheetId="1" hidden="1">2</definedName>
    <definedName name="solver_msl" localSheetId="0" hidden="1">2</definedName>
    <definedName name="solver_neg" localSheetId="1" hidden="1">1</definedName>
    <definedName name="solver_neg" localSheetId="0" hidden="1">1</definedName>
    <definedName name="solver_nod" localSheetId="1" hidden="1">5000</definedName>
    <definedName name="solver_nod" localSheetId="0" hidden="1">5000</definedName>
    <definedName name="solver_num" localSheetId="1" hidden="1">3</definedName>
    <definedName name="solver_num" localSheetId="0" hidden="1">3</definedName>
    <definedName name="solver_nwt" localSheetId="1" hidden="1">1</definedName>
    <definedName name="solver_nwt" localSheetId="0" hidden="1">1</definedName>
    <definedName name="solver_ofx" localSheetId="1" hidden="1">2</definedName>
    <definedName name="solver_ofx" localSheetId="0" hidden="1">2</definedName>
    <definedName name="solver_opt" localSheetId="1" hidden="1">'DEA &lt;=$100M'!$BK$20</definedName>
    <definedName name="solver_opt" localSheetId="0" hidden="1">'DEAModel_Airports &gt;=$100M'!$AI$41</definedName>
    <definedName name="solver_piv" localSheetId="1" hidden="1">0.000001</definedName>
    <definedName name="solver_piv" localSheetId="0" hidden="1">0.000001</definedName>
    <definedName name="solver_pre" localSheetId="1" hidden="1">0.00000001</definedName>
    <definedName name="solver_pre" localSheetId="0" hidden="1">0.00000001</definedName>
    <definedName name="solver_pro" localSheetId="1" hidden="1">2</definedName>
    <definedName name="solver_pro" localSheetId="0" hidden="1">2</definedName>
    <definedName name="solver_rbv" localSheetId="1" hidden="1">1</definedName>
    <definedName name="solver_rbv" localSheetId="0" hidden="1">1</definedName>
    <definedName name="solver_red" localSheetId="1" hidden="1">0.000001</definedName>
    <definedName name="solver_red" localSheetId="0" hidden="1">0.000001</definedName>
    <definedName name="solver_rel1" localSheetId="1" hidden="1">2</definedName>
    <definedName name="solver_rel1" localSheetId="0" hidden="1">2</definedName>
    <definedName name="solver_rel2" localSheetId="1" hidden="1">3</definedName>
    <definedName name="solver_rel2" localSheetId="0" hidden="1">3</definedName>
    <definedName name="solver_rel3" localSheetId="1" hidden="1">1</definedName>
    <definedName name="solver_rel3" localSheetId="0" hidden="1">1</definedName>
    <definedName name="solver_reo" localSheetId="1" hidden="1">2</definedName>
    <definedName name="solver_reo" localSheetId="0" hidden="1">2</definedName>
    <definedName name="solver_rep" localSheetId="1" hidden="1">2</definedName>
    <definedName name="solver_rep" localSheetId="0" hidden="1">2</definedName>
    <definedName name="solver_rhs1" localSheetId="1" hidden="1">'DEA &lt;=$100M'!$D$21</definedName>
    <definedName name="solver_rhs1" localSheetId="0" hidden="1">'DEAModel_Airports &gt;=$100M'!$H$43</definedName>
    <definedName name="solver_rhs2" localSheetId="1" hidden="1">'DEA &lt;=$100M'!$D$22:$D$25</definedName>
    <definedName name="solver_rhs2" localSheetId="0" hidden="1">'DEAModel_Airports &gt;=$100M'!$H$44:$H$47</definedName>
    <definedName name="solver_rhs3" localSheetId="1" hidden="1">'DEA &lt;=$100M'!$D$26:$D$27</definedName>
    <definedName name="solver_rhs3" localSheetId="0" hidden="1">'DEAModel_Airports &gt;=$100M'!$H$48:$H$49</definedName>
    <definedName name="solver_rlx" localSheetId="1" hidden="1">2</definedName>
    <definedName name="solver_rlx" localSheetId="0" hidden="1">2</definedName>
    <definedName name="solver_rsd" localSheetId="1" hidden="1">0</definedName>
    <definedName name="solver_rsd" localSheetId="0" hidden="1">0</definedName>
    <definedName name="solver_scl" localSheetId="1" hidden="1">1</definedName>
    <definedName name="solver_scl" localSheetId="0" hidden="1">1</definedName>
    <definedName name="solver_sho" localSheetId="1" hidden="1">2</definedName>
    <definedName name="solver_sho" localSheetId="0" hidden="1">2</definedName>
    <definedName name="solver_ssz" localSheetId="1" hidden="1">100</definedName>
    <definedName name="solver_ssz" localSheetId="0" hidden="1">100</definedName>
    <definedName name="solver_std" localSheetId="1" hidden="1">0</definedName>
    <definedName name="solver_std" localSheetId="0" hidden="1">0</definedName>
    <definedName name="solver_tim" localSheetId="1" hidden="1">100</definedName>
    <definedName name="solver_tim" localSheetId="0" hidden="1">100</definedName>
    <definedName name="solver_tol" localSheetId="1" hidden="1">0.05</definedName>
    <definedName name="solver_tol" localSheetId="0" hidden="1">0.05</definedName>
    <definedName name="solver_typ" localSheetId="1" hidden="1">2</definedName>
    <definedName name="solver_typ" localSheetId="0" hidden="1">2</definedName>
    <definedName name="solver_val" localSheetId="1" hidden="1">0</definedName>
    <definedName name="solver_val" localSheetId="0" hidden="1">0</definedName>
    <definedName name="solver_ver" localSheetId="1" hidden="1">3</definedName>
    <definedName name="solver_ver" localSheetId="0" hidden="1">3</definedName>
    <definedName name="sssolver_cvg" localSheetId="1" hidden="1">0.0001</definedName>
    <definedName name="sssolver_cvg" localSheetId="0" hidden="1">0.0001</definedName>
    <definedName name="sssolver_drv" localSheetId="1" hidden="1">1</definedName>
    <definedName name="sssolver_drv" localSheetId="0" hidden="1">1</definedName>
    <definedName name="sssolver_est" localSheetId="1" hidden="1">1</definedName>
    <definedName name="sssolver_est" localSheetId="0" hidden="1">1</definedName>
    <definedName name="sssolver_itr" localSheetId="1" hidden="1">100</definedName>
    <definedName name="sssolver_itr" localSheetId="0" hidden="1">100</definedName>
    <definedName name="sssolver_lin" localSheetId="1" hidden="1">2</definedName>
    <definedName name="sssolver_lin" localSheetId="0" hidden="1">2</definedName>
    <definedName name="sssolver_neg" localSheetId="1" hidden="1">0</definedName>
    <definedName name="sssolver_neg" localSheetId="0" hidden="1">0</definedName>
    <definedName name="sssolver_nwt" localSheetId="1" hidden="1">1</definedName>
    <definedName name="sssolver_nwt" localSheetId="0" hidden="1">1</definedName>
    <definedName name="sssolver_pre" localSheetId="1" hidden="1">0.000001</definedName>
    <definedName name="sssolver_pre" localSheetId="0" hidden="1">0.000001</definedName>
    <definedName name="sssolver_rep" localSheetId="1" hidden="1">2</definedName>
    <definedName name="sssolver_rep" localSheetId="0" hidden="1">2</definedName>
    <definedName name="sssolver_scl" localSheetId="1" hidden="1">2</definedName>
    <definedName name="sssolver_scl" localSheetId="0" hidden="1">2</definedName>
    <definedName name="sssolver_sho" localSheetId="1" hidden="1">2</definedName>
    <definedName name="sssolver_sho" localSheetId="0" hidden="1">2</definedName>
    <definedName name="sssolver_tim" localSheetId="1" hidden="1">100</definedName>
    <definedName name="sssolver_tim" localSheetId="0" hidden="1">100</definedName>
    <definedName name="sssolver_tol" localSheetId="1" hidden="1">0.05</definedName>
    <definedName name="sssolver_tol" localSheetId="0" hidden="1">0.05</definedName>
  </definedNames>
  <calcPr calcId="191029"/>
  <pivotCaches>
    <pivotCache cacheId="0" r:id="rId8"/>
  </pivotCaches>
  <fileRecoveryPr repairLoad="1"/>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3" i="3" l="1"/>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M4" i="12"/>
  <c r="M5" i="12"/>
  <c r="M6" i="12"/>
  <c r="M7" i="12"/>
  <c r="M8" i="12"/>
  <c r="M9" i="12"/>
  <c r="M10" i="12"/>
  <c r="M11" i="12"/>
  <c r="M3" i="12"/>
  <c r="E3" i="12"/>
  <c r="E4" i="12"/>
  <c r="E5" i="12"/>
  <c r="E6" i="12"/>
  <c r="E7" i="12"/>
  <c r="E8" i="12"/>
  <c r="E9" i="12"/>
  <c r="E10" i="12"/>
  <c r="E11" i="12"/>
  <c r="E12" i="12"/>
  <c r="E13" i="12"/>
  <c r="E14" i="12"/>
  <c r="E15" i="12"/>
  <c r="E16" i="12"/>
  <c r="E17" i="12"/>
  <c r="E18" i="12"/>
  <c r="E19" i="12"/>
  <c r="E20" i="12"/>
  <c r="E21" i="12"/>
  <c r="E22" i="12"/>
  <c r="E23" i="12"/>
  <c r="E24" i="12"/>
  <c r="E25" i="12"/>
  <c r="E26" i="12"/>
  <c r="E27" i="12"/>
  <c r="E28" i="12"/>
  <c r="E29" i="12"/>
  <c r="E30" i="12"/>
  <c r="E31" i="12"/>
  <c r="E32" i="12"/>
  <c r="E33" i="12"/>
  <c r="E34" i="12"/>
  <c r="E35" i="12"/>
  <c r="E36" i="12"/>
  <c r="E37" i="12"/>
  <c r="E38" i="12"/>
  <c r="E39" i="12"/>
  <c r="E40" i="12"/>
  <c r="E41" i="12"/>
  <c r="E42" i="12"/>
  <c r="E43" i="12"/>
  <c r="E44" i="12"/>
  <c r="E45" i="12"/>
  <c r="E46" i="12"/>
  <c r="E47" i="12"/>
  <c r="E48" i="12"/>
  <c r="E49" i="12"/>
  <c r="E50" i="12"/>
  <c r="E51" i="12"/>
  <c r="E52" i="12"/>
  <c r="E53" i="12"/>
  <c r="E54" i="12"/>
  <c r="E55" i="12"/>
  <c r="E56" i="12"/>
  <c r="E57" i="12"/>
  <c r="E58" i="12"/>
  <c r="E59" i="12"/>
  <c r="E60" i="12"/>
  <c r="E61" i="12"/>
  <c r="E62" i="12"/>
  <c r="E63" i="12"/>
  <c r="E64" i="12"/>
  <c r="E65" i="12"/>
  <c r="E66" i="12"/>
  <c r="E67" i="12"/>
  <c r="E68" i="12"/>
  <c r="E69" i="12"/>
  <c r="E70" i="12"/>
  <c r="E71" i="12"/>
  <c r="E72" i="12"/>
  <c r="E73" i="12"/>
  <c r="E74" i="12"/>
  <c r="E75" i="12"/>
  <c r="E76" i="12"/>
  <c r="E77" i="12"/>
  <c r="E78" i="12"/>
  <c r="E79" i="12"/>
  <c r="E80" i="12"/>
  <c r="E81" i="12"/>
  <c r="E82" i="12"/>
  <c r="E83" i="12"/>
  <c r="E84" i="12"/>
  <c r="E85" i="12"/>
  <c r="E86" i="12"/>
  <c r="E87" i="12"/>
  <c r="E88" i="12"/>
  <c r="E89" i="12"/>
  <c r="E90" i="12"/>
  <c r="E2" i="12"/>
  <c r="F34" i="6" l="1"/>
  <c r="F35" i="6" s="1"/>
  <c r="O70" i="3"/>
  <c r="P70" i="3"/>
  <c r="Q70" i="3"/>
  <c r="R70" i="3"/>
  <c r="O71" i="3"/>
  <c r="P71" i="3"/>
  <c r="Q71" i="3"/>
  <c r="R71" i="3"/>
  <c r="O72" i="3"/>
  <c r="P72" i="3"/>
  <c r="Q72" i="3"/>
  <c r="R72" i="3"/>
  <c r="O73" i="3"/>
  <c r="P73" i="3"/>
  <c r="Q73" i="3"/>
  <c r="R73" i="3"/>
  <c r="O74" i="3"/>
  <c r="P74" i="3"/>
  <c r="Q74" i="3"/>
  <c r="R74" i="3"/>
  <c r="O75" i="3"/>
  <c r="P75" i="3"/>
  <c r="Q75" i="3"/>
  <c r="R75" i="3"/>
  <c r="O76" i="3"/>
  <c r="P76" i="3"/>
  <c r="Q76" i="3"/>
  <c r="R76" i="3"/>
  <c r="O77" i="3"/>
  <c r="P77" i="3"/>
  <c r="Q77" i="3"/>
  <c r="R77" i="3"/>
  <c r="O78" i="3"/>
  <c r="P78" i="3"/>
  <c r="Q78" i="3"/>
  <c r="R78" i="3"/>
  <c r="O79" i="3"/>
  <c r="P79" i="3"/>
  <c r="Q79" i="3"/>
  <c r="R79" i="3"/>
  <c r="O80" i="3"/>
  <c r="P80" i="3"/>
  <c r="Q80" i="3"/>
  <c r="R80" i="3"/>
  <c r="O81" i="3"/>
  <c r="P81" i="3"/>
  <c r="Q81" i="3"/>
  <c r="R81" i="3"/>
  <c r="O82" i="3"/>
  <c r="P82" i="3"/>
  <c r="Q82" i="3"/>
  <c r="R82" i="3"/>
  <c r="O83" i="3"/>
  <c r="P83" i="3"/>
  <c r="Q83" i="3"/>
  <c r="R83" i="3"/>
  <c r="O84" i="3"/>
  <c r="P84" i="3"/>
  <c r="Q84" i="3"/>
  <c r="R84" i="3"/>
  <c r="O85" i="3"/>
  <c r="P85" i="3"/>
  <c r="Q85" i="3"/>
  <c r="R85" i="3"/>
  <c r="O86" i="3"/>
  <c r="P86" i="3"/>
  <c r="Q86" i="3"/>
  <c r="R86" i="3"/>
  <c r="O87" i="3"/>
  <c r="P87" i="3"/>
  <c r="Q87" i="3"/>
  <c r="R87" i="3"/>
  <c r="O88" i="3"/>
  <c r="P88" i="3"/>
  <c r="Q88" i="3"/>
  <c r="R88" i="3"/>
  <c r="O89" i="3"/>
  <c r="P89" i="3"/>
  <c r="Q89" i="3"/>
  <c r="R89" i="3"/>
  <c r="O90" i="3"/>
  <c r="P90" i="3"/>
  <c r="Q90" i="3"/>
  <c r="R90" i="3"/>
  <c r="O91" i="3"/>
  <c r="P91" i="3"/>
  <c r="Q91" i="3"/>
  <c r="R91" i="3"/>
  <c r="O4" i="3"/>
  <c r="P4" i="3"/>
  <c r="Q4" i="3"/>
  <c r="R4" i="3"/>
  <c r="O5" i="3"/>
  <c r="P5" i="3"/>
  <c r="Q5" i="3"/>
  <c r="R5" i="3"/>
  <c r="O6" i="3"/>
  <c r="P6" i="3"/>
  <c r="Q6" i="3"/>
  <c r="R6" i="3"/>
  <c r="O7" i="3"/>
  <c r="P7" i="3"/>
  <c r="Q7" i="3"/>
  <c r="R7" i="3"/>
  <c r="O8" i="3"/>
  <c r="P8" i="3"/>
  <c r="Q8" i="3"/>
  <c r="R8" i="3"/>
  <c r="O9" i="3"/>
  <c r="P9" i="3"/>
  <c r="Q9" i="3"/>
  <c r="R9" i="3"/>
  <c r="O10" i="3"/>
  <c r="P10" i="3"/>
  <c r="Q10" i="3"/>
  <c r="R10" i="3"/>
  <c r="O11" i="3"/>
  <c r="P11" i="3"/>
  <c r="Q11" i="3"/>
  <c r="R11" i="3"/>
  <c r="O12" i="3"/>
  <c r="P12" i="3"/>
  <c r="Q12" i="3"/>
  <c r="R12" i="3"/>
  <c r="O13" i="3"/>
  <c r="P13" i="3"/>
  <c r="Q13" i="3"/>
  <c r="R13" i="3"/>
  <c r="O14" i="3"/>
  <c r="P14" i="3"/>
  <c r="Q14" i="3"/>
  <c r="R14" i="3"/>
  <c r="O15" i="3"/>
  <c r="P15" i="3"/>
  <c r="Q15" i="3"/>
  <c r="R15" i="3"/>
  <c r="O16" i="3"/>
  <c r="P16" i="3"/>
  <c r="Q16" i="3"/>
  <c r="R16" i="3"/>
  <c r="O17" i="3"/>
  <c r="P17" i="3"/>
  <c r="Q17" i="3"/>
  <c r="R17" i="3"/>
  <c r="O18" i="3"/>
  <c r="P18" i="3"/>
  <c r="Q18" i="3"/>
  <c r="R18" i="3"/>
  <c r="O19" i="3"/>
  <c r="P19" i="3"/>
  <c r="Q19" i="3"/>
  <c r="R19" i="3"/>
  <c r="O20" i="3"/>
  <c r="P20" i="3"/>
  <c r="Q20" i="3"/>
  <c r="R20" i="3"/>
  <c r="O21" i="3"/>
  <c r="P21" i="3"/>
  <c r="Q21" i="3"/>
  <c r="R21" i="3"/>
  <c r="O22" i="3"/>
  <c r="P22" i="3"/>
  <c r="Q22" i="3"/>
  <c r="R22" i="3"/>
  <c r="O23" i="3"/>
  <c r="P23" i="3"/>
  <c r="Q23" i="3"/>
  <c r="R23" i="3"/>
  <c r="O24" i="3"/>
  <c r="P24" i="3"/>
  <c r="Q24" i="3"/>
  <c r="R24" i="3"/>
  <c r="O25" i="3"/>
  <c r="P25" i="3"/>
  <c r="Q25" i="3"/>
  <c r="R25" i="3"/>
  <c r="O26" i="3"/>
  <c r="P26" i="3"/>
  <c r="Q26" i="3"/>
  <c r="R26" i="3"/>
  <c r="O27" i="3"/>
  <c r="P27" i="3"/>
  <c r="Q27" i="3"/>
  <c r="R27" i="3"/>
  <c r="O28" i="3"/>
  <c r="P28" i="3"/>
  <c r="Q28" i="3"/>
  <c r="R28" i="3"/>
  <c r="O29" i="3"/>
  <c r="P29" i="3"/>
  <c r="Q29" i="3"/>
  <c r="R29" i="3"/>
  <c r="O30" i="3"/>
  <c r="P30" i="3"/>
  <c r="Q30" i="3"/>
  <c r="R30" i="3"/>
  <c r="O31" i="3"/>
  <c r="P31" i="3"/>
  <c r="Q31" i="3"/>
  <c r="R31" i="3"/>
  <c r="O32" i="3"/>
  <c r="P32" i="3"/>
  <c r="Q32" i="3"/>
  <c r="R32" i="3"/>
  <c r="O33" i="3"/>
  <c r="P33" i="3"/>
  <c r="Q33" i="3"/>
  <c r="R33" i="3"/>
  <c r="O34" i="3"/>
  <c r="P34" i="3"/>
  <c r="Q34" i="3"/>
  <c r="R34" i="3"/>
  <c r="O35" i="3"/>
  <c r="P35" i="3"/>
  <c r="Q35" i="3"/>
  <c r="R35" i="3"/>
  <c r="O36" i="3"/>
  <c r="P36" i="3"/>
  <c r="Q36" i="3"/>
  <c r="R36" i="3"/>
  <c r="O37" i="3"/>
  <c r="P37" i="3"/>
  <c r="Q37" i="3"/>
  <c r="R37" i="3"/>
  <c r="O38" i="3"/>
  <c r="P38" i="3"/>
  <c r="Q38" i="3"/>
  <c r="R38" i="3"/>
  <c r="O39" i="3"/>
  <c r="P39" i="3"/>
  <c r="Q39" i="3"/>
  <c r="R39" i="3"/>
  <c r="O40" i="3"/>
  <c r="P40" i="3"/>
  <c r="Q40" i="3"/>
  <c r="R40" i="3"/>
  <c r="O41" i="3"/>
  <c r="P41" i="3"/>
  <c r="Q41" i="3"/>
  <c r="R41" i="3"/>
  <c r="O42" i="3"/>
  <c r="P42" i="3"/>
  <c r="Q42" i="3"/>
  <c r="R42" i="3"/>
  <c r="O43" i="3"/>
  <c r="P43" i="3"/>
  <c r="Q43" i="3"/>
  <c r="R43" i="3"/>
  <c r="O44" i="3"/>
  <c r="P44" i="3"/>
  <c r="Q44" i="3"/>
  <c r="R44" i="3"/>
  <c r="O45" i="3"/>
  <c r="P45" i="3"/>
  <c r="Q45" i="3"/>
  <c r="R45" i="3"/>
  <c r="O46" i="3"/>
  <c r="P46" i="3"/>
  <c r="Q46" i="3"/>
  <c r="R46" i="3"/>
  <c r="O47" i="3"/>
  <c r="P47" i="3"/>
  <c r="Q47" i="3"/>
  <c r="R47" i="3"/>
  <c r="O48" i="3"/>
  <c r="P48" i="3"/>
  <c r="Q48" i="3"/>
  <c r="R48" i="3"/>
  <c r="O49" i="3"/>
  <c r="P49" i="3"/>
  <c r="Q49" i="3"/>
  <c r="R49" i="3"/>
  <c r="O50" i="3"/>
  <c r="P50" i="3"/>
  <c r="Q50" i="3"/>
  <c r="R50" i="3"/>
  <c r="O51" i="3"/>
  <c r="P51" i="3"/>
  <c r="Q51" i="3"/>
  <c r="R51" i="3"/>
  <c r="O52" i="3"/>
  <c r="P52" i="3"/>
  <c r="Q52" i="3"/>
  <c r="R52" i="3"/>
  <c r="O53" i="3"/>
  <c r="P53" i="3"/>
  <c r="Q53" i="3"/>
  <c r="R53" i="3"/>
  <c r="O54" i="3"/>
  <c r="P54" i="3"/>
  <c r="Q54" i="3"/>
  <c r="R54" i="3"/>
  <c r="O55" i="3"/>
  <c r="P55" i="3"/>
  <c r="Q55" i="3"/>
  <c r="R55" i="3"/>
  <c r="O56" i="3"/>
  <c r="P56" i="3"/>
  <c r="Q56" i="3"/>
  <c r="R56" i="3"/>
  <c r="O57" i="3"/>
  <c r="P57" i="3"/>
  <c r="Q57" i="3"/>
  <c r="R57" i="3"/>
  <c r="O58" i="3"/>
  <c r="P58" i="3"/>
  <c r="Q58" i="3"/>
  <c r="R58" i="3"/>
  <c r="O59" i="3"/>
  <c r="P59" i="3"/>
  <c r="Q59" i="3"/>
  <c r="R59" i="3"/>
  <c r="O60" i="3"/>
  <c r="P60" i="3"/>
  <c r="Q60" i="3"/>
  <c r="R60" i="3"/>
  <c r="O61" i="3"/>
  <c r="P61" i="3"/>
  <c r="Q61" i="3"/>
  <c r="R61" i="3"/>
  <c r="O62" i="3"/>
  <c r="P62" i="3"/>
  <c r="Q62" i="3"/>
  <c r="R62" i="3"/>
  <c r="O63" i="3"/>
  <c r="P63" i="3"/>
  <c r="Q63" i="3"/>
  <c r="R63" i="3"/>
  <c r="O64" i="3"/>
  <c r="P64" i="3"/>
  <c r="Q64" i="3"/>
  <c r="R64" i="3"/>
  <c r="O65" i="3"/>
  <c r="P65" i="3"/>
  <c r="Q65" i="3"/>
  <c r="R65" i="3"/>
  <c r="O66" i="3"/>
  <c r="P66" i="3"/>
  <c r="Q66" i="3"/>
  <c r="R66" i="3"/>
  <c r="O67" i="3"/>
  <c r="P67" i="3"/>
  <c r="Q67" i="3"/>
  <c r="R67" i="3"/>
  <c r="O68" i="3"/>
  <c r="P68" i="3"/>
  <c r="Q68" i="3"/>
  <c r="R68" i="3"/>
  <c r="O69" i="3"/>
  <c r="P69" i="3"/>
  <c r="Q69" i="3"/>
  <c r="R69" i="3"/>
  <c r="P3" i="3"/>
  <c r="Q3" i="3"/>
  <c r="R3" i="3"/>
  <c r="O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3" i="3"/>
  <c r="M3" i="3"/>
  <c r="N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3" i="3"/>
  <c r="B27" i="6"/>
  <c r="B26" i="6"/>
  <c r="B23" i="6"/>
  <c r="B24" i="6"/>
  <c r="B25" i="6"/>
  <c r="B22" i="6"/>
  <c r="B21" i="6"/>
  <c r="F2" i="6"/>
  <c r="D26" i="6" s="1"/>
  <c r="BK20" i="6"/>
  <c r="E9" i="11"/>
  <c r="E5" i="11"/>
  <c r="E8" i="11"/>
  <c r="E4" i="11"/>
  <c r="E7" i="11"/>
  <c r="E11" i="11"/>
  <c r="E10" i="11"/>
  <c r="E6" i="11"/>
  <c r="D23" i="6" l="1"/>
  <c r="D27" i="6"/>
  <c r="D24" i="6"/>
  <c r="D25" i="6"/>
  <c r="D22" i="6"/>
  <c r="F36" i="6"/>
  <c r="I59" i="2"/>
  <c r="I60" i="2" s="1"/>
  <c r="J25" i="2"/>
  <c r="H47" i="2" s="1"/>
  <c r="I61" i="2" l="1"/>
  <c r="H48" i="2"/>
  <c r="H49" i="2"/>
  <c r="H45" i="2"/>
  <c r="H44" i="2"/>
  <c r="H46" i="2"/>
  <c r="F49" i="2" l="1"/>
  <c r="F48" i="2"/>
  <c r="F47" i="2"/>
  <c r="F46" i="2"/>
  <c r="F45" i="2"/>
  <c r="F44" i="2"/>
  <c r="F43" i="2"/>
  <c r="AI41" i="2"/>
  <c r="K25" i="2" s="1"/>
</calcChain>
</file>

<file path=xl/sharedStrings.xml><?xml version="1.0" encoding="utf-8"?>
<sst xmlns="http://schemas.openxmlformats.org/spreadsheetml/2006/main" count="821" uniqueCount="349">
  <si>
    <t>Input Measure</t>
  </si>
  <si>
    <t>Output Measure</t>
  </si>
  <si>
    <t>Weights</t>
  </si>
  <si>
    <t>Efficiency</t>
  </si>
  <si>
    <t>E</t>
  </si>
  <si>
    <t>Optimal Solution</t>
  </si>
  <si>
    <t>LHS</t>
  </si>
  <si>
    <t>RHS</t>
  </si>
  <si>
    <t>Min E</t>
  </si>
  <si>
    <t xml:space="preserve">  Sum</t>
  </si>
  <si>
    <t>=</t>
  </si>
  <si>
    <t>&gt;=</t>
  </si>
  <si>
    <t>&lt;=</t>
  </si>
  <si>
    <t>Employees</t>
  </si>
  <si>
    <t>Total Operating Expenses</t>
  </si>
  <si>
    <t>Total Enplanements</t>
  </si>
  <si>
    <t>Annual Aircraft Operations</t>
  </si>
  <si>
    <t>Total Non Aero Revenue</t>
  </si>
  <si>
    <t>Total Aero Revenue</t>
  </si>
  <si>
    <t>Airport</t>
  </si>
  <si>
    <t>W1</t>
  </si>
  <si>
    <t>W2</t>
  </si>
  <si>
    <t>W3</t>
  </si>
  <si>
    <t>W4</t>
  </si>
  <si>
    <t>W5</t>
  </si>
  <si>
    <t>W6</t>
  </si>
  <si>
    <t>W7</t>
  </si>
  <si>
    <t>W8</t>
  </si>
  <si>
    <t>W9</t>
  </si>
  <si>
    <t>W10</t>
  </si>
  <si>
    <t>W11</t>
  </si>
  <si>
    <t>W12</t>
  </si>
  <si>
    <t>W13</t>
  </si>
  <si>
    <t>W14</t>
  </si>
  <si>
    <t>W15</t>
  </si>
  <si>
    <t>W16</t>
  </si>
  <si>
    <t>W17</t>
  </si>
  <si>
    <t>W18</t>
  </si>
  <si>
    <t>W19</t>
  </si>
  <si>
    <t>W20</t>
  </si>
  <si>
    <t>W21</t>
  </si>
  <si>
    <t>W22</t>
  </si>
  <si>
    <t>W23</t>
  </si>
  <si>
    <t>W24</t>
  </si>
  <si>
    <t>W25</t>
  </si>
  <si>
    <t>W26</t>
  </si>
  <si>
    <t>W27</t>
  </si>
  <si>
    <t>W28</t>
  </si>
  <si>
    <t>W29</t>
  </si>
  <si>
    <t>Airport Code</t>
  </si>
  <si>
    <t>Employees - 2015</t>
  </si>
  <si>
    <t>TOTAL OPERATING EXPENSES - 2015</t>
  </si>
  <si>
    <t>Total enplanements - 2015</t>
  </si>
  <si>
    <t>Annual aircraft operations - 2015</t>
  </si>
  <si>
    <t>Total Aero revenue - 2015</t>
  </si>
  <si>
    <t>ALBANY COUNTY</t>
  </si>
  <si>
    <t>ALB</t>
  </si>
  <si>
    <t>ALBUQUERQUE INTL</t>
  </si>
  <si>
    <t>ABQ</t>
  </si>
  <si>
    <t>ANCHORAGE INTL</t>
  </si>
  <si>
    <t>ANC</t>
  </si>
  <si>
    <t>AUSTIN-BERGSTROM INTL</t>
  </si>
  <si>
    <t>AUS</t>
  </si>
  <si>
    <t>BALTIMORE-WASHINGTON INTL</t>
  </si>
  <si>
    <t>BWI</t>
  </si>
  <si>
    <t>BANGOR INTL</t>
  </si>
  <si>
    <t>BGR</t>
  </si>
  <si>
    <t>BIRMINGHAM INTL</t>
  </si>
  <si>
    <t>BHM</t>
  </si>
  <si>
    <t>BOISE AIR TERMINAL/GOWEN FIELD</t>
  </si>
  <si>
    <t>BOI</t>
  </si>
  <si>
    <t>BRADLEY INTL</t>
  </si>
  <si>
    <t>BDL</t>
  </si>
  <si>
    <t>BURBANK-GLENDALE-PASADENA</t>
  </si>
  <si>
    <t>BUR</t>
  </si>
  <si>
    <t>CHARLESTON INTL</t>
  </si>
  <si>
    <t>CHS</t>
  </si>
  <si>
    <t>CHARLOTTE/DOUGLAS INTL</t>
  </si>
  <si>
    <t>CLT</t>
  </si>
  <si>
    <t>CHICAGO MIDWAY INTERNATIONAL</t>
  </si>
  <si>
    <t>MDW</t>
  </si>
  <si>
    <t>CHICAGO OHARE INTL</t>
  </si>
  <si>
    <t>ORD</t>
  </si>
  <si>
    <t>CINCINNATI/NORTHERN KENTUCKY</t>
  </si>
  <si>
    <t>CVG</t>
  </si>
  <si>
    <t>CLEVELAND-HOPKINS INTL</t>
  </si>
  <si>
    <t>CLE</t>
  </si>
  <si>
    <t>DALLAS LOVE FIELD</t>
  </si>
  <si>
    <t>DAL</t>
  </si>
  <si>
    <t>DALLAS/FORT WORTH INTL</t>
  </si>
  <si>
    <t>DFW</t>
  </si>
  <si>
    <t>DAYTON INTL</t>
  </si>
  <si>
    <t>DAY</t>
  </si>
  <si>
    <t>DENVER INTL</t>
  </si>
  <si>
    <t>DEN</t>
  </si>
  <si>
    <t>DETROIT METRO  WAYNE</t>
  </si>
  <si>
    <t>DTW</t>
  </si>
  <si>
    <t>EL PASO INTL</t>
  </si>
  <si>
    <t>ELP</t>
  </si>
  <si>
    <t>EPPLEY AIRFIELD</t>
  </si>
  <si>
    <t>OMA</t>
  </si>
  <si>
    <t>FORT LAUDERDALE/ HOLLYWOOD INTL</t>
  </si>
  <si>
    <t>FLL</t>
  </si>
  <si>
    <t>GENERAL EDWARD LAWRENCE LOGAN</t>
  </si>
  <si>
    <t>BOS</t>
  </si>
  <si>
    <t>GENERAL MITCHELL INTL</t>
  </si>
  <si>
    <t>MKE</t>
  </si>
  <si>
    <t>GEORGE BUSH  INTERCONTINENTAL</t>
  </si>
  <si>
    <t>IAH</t>
  </si>
  <si>
    <t>GERALD R FORD INTERNATIONAL</t>
  </si>
  <si>
    <t>GRR</t>
  </si>
  <si>
    <t>GREATER BUFFALO INTL</t>
  </si>
  <si>
    <t>BUF</t>
  </si>
  <si>
    <t>Hartsfield-Jackson Atlanta International</t>
  </si>
  <si>
    <t>ATL</t>
  </si>
  <si>
    <t>HONOLULU INTL</t>
  </si>
  <si>
    <t>HNL</t>
  </si>
  <si>
    <t>HUNTSVILLE INTL-CARL T JONE</t>
  </si>
  <si>
    <t>HSV</t>
  </si>
  <si>
    <t>INDIANAPOLIS INTL</t>
  </si>
  <si>
    <t>IND</t>
  </si>
  <si>
    <t>JACKSON INTERNATIONAL</t>
  </si>
  <si>
    <t>JAN</t>
  </si>
  <si>
    <t>JACKSONVILLE INTL</t>
  </si>
  <si>
    <t>JAX</t>
  </si>
  <si>
    <t>JOHN F KENNEDY INTL</t>
  </si>
  <si>
    <t>JFK</t>
  </si>
  <si>
    <t>JOHN WAYNE AIRPORT-ORANGE C</t>
  </si>
  <si>
    <t>SNA</t>
  </si>
  <si>
    <t>KAHULUI</t>
  </si>
  <si>
    <t>OGG</t>
  </si>
  <si>
    <t>KANSAS CITY INTL</t>
  </si>
  <si>
    <t>MCI</t>
  </si>
  <si>
    <t>LAGUARDIA</t>
  </si>
  <si>
    <t>LGA</t>
  </si>
  <si>
    <t>LAMBERT-ST LOUIS INTL</t>
  </si>
  <si>
    <t>STL</t>
  </si>
  <si>
    <t>LEHIGH VALLEY INTL</t>
  </si>
  <si>
    <t>ABE</t>
  </si>
  <si>
    <t>LITTLE ROCK NATIONAL - ADAMS FIELD</t>
  </si>
  <si>
    <t>LIT</t>
  </si>
  <si>
    <t>LONG BEACH /DAUGHERTY FIELD</t>
  </si>
  <si>
    <t>LGB</t>
  </si>
  <si>
    <t>LOS ANGELES INTL</t>
  </si>
  <si>
    <t>LAX</t>
  </si>
  <si>
    <t>LOUISVILLE INTL</t>
  </si>
  <si>
    <t>SDF</t>
  </si>
  <si>
    <t>MC CARRAN INTL</t>
  </si>
  <si>
    <t>LAS</t>
  </si>
  <si>
    <t>MC GHEE TYSON</t>
  </si>
  <si>
    <t>TYS</t>
  </si>
  <si>
    <t>MEMPHIS INTL</t>
  </si>
  <si>
    <t>MEM</t>
  </si>
  <si>
    <t>MIAMI INTL</t>
  </si>
  <si>
    <t>MIA</t>
  </si>
  <si>
    <t>MINNEAPOLIS-ST PAUL INTL</t>
  </si>
  <si>
    <t>MSP</t>
  </si>
  <si>
    <t>MOBILE REGIONAL</t>
  </si>
  <si>
    <t>MOB</t>
  </si>
  <si>
    <t>MYRTLE BEACH INTL</t>
  </si>
  <si>
    <t>MYR</t>
  </si>
  <si>
    <t>NASHVILLE INTL</t>
  </si>
  <si>
    <t>BNA</t>
  </si>
  <si>
    <t>NEW ORLEANS INTL</t>
  </si>
  <si>
    <t>MSY</t>
  </si>
  <si>
    <t>NEWARK INTL</t>
  </si>
  <si>
    <t>EWR</t>
  </si>
  <si>
    <t>NORFOLK INTERNATIONAL</t>
  </si>
  <si>
    <t>ORF</t>
  </si>
  <si>
    <t>OAKLAND INTERNATIONAL AIRPORT</t>
  </si>
  <si>
    <t>OAK</t>
  </si>
  <si>
    <t>ONTARIO INTL</t>
  </si>
  <si>
    <t>ONT</t>
  </si>
  <si>
    <t>ORLANDO INTL</t>
  </si>
  <si>
    <t>MCO</t>
  </si>
  <si>
    <t>PHILADELPHIA INTL</t>
  </si>
  <si>
    <t>PHL</t>
  </si>
  <si>
    <t>PHOENIX SKY HARBOR INTL</t>
  </si>
  <si>
    <t>PHX</t>
  </si>
  <si>
    <t>PIEDMONT TRIAD INTL</t>
  </si>
  <si>
    <t>GSO</t>
  </si>
  <si>
    <t>PITTSBURGH INTERNATIONAL</t>
  </si>
  <si>
    <t>PIT</t>
  </si>
  <si>
    <t>PORT COLUMBUS INTL</t>
  </si>
  <si>
    <t>CMH</t>
  </si>
  <si>
    <t>PORTLAND INTL</t>
  </si>
  <si>
    <t>PDX</t>
  </si>
  <si>
    <t>RALEIGH-DURHAM INTL</t>
  </si>
  <si>
    <t>RDU</t>
  </si>
  <si>
    <t>RENO/TAHOE INTL</t>
  </si>
  <si>
    <t>RNO</t>
  </si>
  <si>
    <t>RICHMOND INTL</t>
  </si>
  <si>
    <t>RIC</t>
  </si>
  <si>
    <t>RONALD REAGAN WASHINGTON NATIONAL</t>
  </si>
  <si>
    <t>DCA</t>
  </si>
  <si>
    <t>SACRAMENTO METRO</t>
  </si>
  <si>
    <t>SMF</t>
  </si>
  <si>
    <t>SALT LAKE CITY INTL</t>
  </si>
  <si>
    <t>SLC</t>
  </si>
  <si>
    <t>SAN ANTONIO INTL</t>
  </si>
  <si>
    <t>SAT</t>
  </si>
  <si>
    <t>SAN DIEGO INTL</t>
  </si>
  <si>
    <t>SAN</t>
  </si>
  <si>
    <t>SAN FRANCISCO INTL</t>
  </si>
  <si>
    <t>SFO</t>
  </si>
  <si>
    <t>SAN JOSE INTERNATION</t>
  </si>
  <si>
    <t>SJC</t>
  </si>
  <si>
    <t>SARASOTA/BRADENTON INTL</t>
  </si>
  <si>
    <t>SRQ</t>
  </si>
  <si>
    <t>SAVANNAH INTERNATIONAL</t>
  </si>
  <si>
    <t>SAV</t>
  </si>
  <si>
    <t>SEATTLE-TACOMA INTL</t>
  </si>
  <si>
    <t>SEA</t>
  </si>
  <si>
    <t>SOUTHWEST FLORIDA INTL</t>
  </si>
  <si>
    <t>RSW</t>
  </si>
  <si>
    <t>SPOKANE INTL</t>
  </si>
  <si>
    <t>GEG</t>
  </si>
  <si>
    <t>TAMPA INTL</t>
  </si>
  <si>
    <t>TPA</t>
  </si>
  <si>
    <t>THEODORE FRANCIS GREEN</t>
  </si>
  <si>
    <t>PVD</t>
  </si>
  <si>
    <t>TUCSON INTL</t>
  </si>
  <si>
    <t>TUS</t>
  </si>
  <si>
    <t>TULSA INTL</t>
  </si>
  <si>
    <t>TUL</t>
  </si>
  <si>
    <t>WASHINGTON DULLES INTERNATI</t>
  </si>
  <si>
    <t>IAD</t>
  </si>
  <si>
    <t>WICHITA MID-CONTINENT</t>
  </si>
  <si>
    <t>ICT</t>
  </si>
  <si>
    <t>WILL ROGERS WORLD</t>
  </si>
  <si>
    <t>OKC</t>
  </si>
  <si>
    <t>WILLIAM P HOBBY</t>
  </si>
  <si>
    <t>HOU</t>
  </si>
  <si>
    <t>Choose Airport</t>
  </si>
  <si>
    <t>Select from drop down below</t>
  </si>
  <si>
    <t>Inefficient Airports</t>
  </si>
  <si>
    <t>Efficient Airports</t>
  </si>
  <si>
    <t>Top 5 Inefficient Airports</t>
  </si>
  <si>
    <t>Name</t>
  </si>
  <si>
    <t>Count</t>
  </si>
  <si>
    <t>Total Airports</t>
  </si>
  <si>
    <t>Summary Report</t>
  </si>
  <si>
    <t>PART 1</t>
  </si>
  <si>
    <t>Chosen Inefficient Airport</t>
  </si>
  <si>
    <t>Philadelphia</t>
  </si>
  <si>
    <t>Metrics</t>
  </si>
  <si>
    <t>All Airports &gt;= 100M</t>
  </si>
  <si>
    <t>PART 2</t>
  </si>
  <si>
    <t>W30</t>
  </si>
  <si>
    <t>W31</t>
  </si>
  <si>
    <t>W32</t>
  </si>
  <si>
    <t>W33</t>
  </si>
  <si>
    <t>W34</t>
  </si>
  <si>
    <t>W35</t>
  </si>
  <si>
    <t>W36</t>
  </si>
  <si>
    <t>W37</t>
  </si>
  <si>
    <t>W38</t>
  </si>
  <si>
    <t>W39</t>
  </si>
  <si>
    <t>W40</t>
  </si>
  <si>
    <t>W41</t>
  </si>
  <si>
    <t>W42</t>
  </si>
  <si>
    <t>W43</t>
  </si>
  <si>
    <t>W44</t>
  </si>
  <si>
    <t>W45</t>
  </si>
  <si>
    <t>W46</t>
  </si>
  <si>
    <t>W47</t>
  </si>
  <si>
    <t>W48</t>
  </si>
  <si>
    <t>W49</t>
  </si>
  <si>
    <t>W50</t>
  </si>
  <si>
    <t>W51</t>
  </si>
  <si>
    <t>W52</t>
  </si>
  <si>
    <t>W53</t>
  </si>
  <si>
    <t>W54</t>
  </si>
  <si>
    <t>W55</t>
  </si>
  <si>
    <t>W56</t>
  </si>
  <si>
    <t>W57</t>
  </si>
  <si>
    <t>W58</t>
  </si>
  <si>
    <t>W59</t>
  </si>
  <si>
    <t>W60</t>
  </si>
  <si>
    <t>CALC - Total enplanements - Emp</t>
  </si>
  <si>
    <t>CALC -Annual aircraft operations - 20153 - Emp</t>
  </si>
  <si>
    <t>CALC -Total Non Aero Revenue - Emp</t>
  </si>
  <si>
    <t>CALC-Total Aero revenue - Emp</t>
  </si>
  <si>
    <t>CALC -Total enplanements - Exp</t>
  </si>
  <si>
    <t>CALC -Annual aircraft operations - Exp</t>
  </si>
  <si>
    <t>CALC-Total Non Aero Revenue - Exp</t>
  </si>
  <si>
    <t>CALC-Total Aero revenue - Exp</t>
  </si>
  <si>
    <t>Average of CALC-Total Aero revenue - Emp</t>
  </si>
  <si>
    <t>Average of CALC -Total enplanements - Exp</t>
  </si>
  <si>
    <t>Average of CALC - Total enplanements - Emp</t>
  </si>
  <si>
    <t>Average of CALC -Annual aircraft operations - 20153 - Emp</t>
  </si>
  <si>
    <t>Average of CALC -Total Non Aero Revenue - Emp</t>
  </si>
  <si>
    <t>Average of CALC -Annual aircraft operations - Exp</t>
  </si>
  <si>
    <t>Average of CALC-Total Non Aero Revenue - Exp</t>
  </si>
  <si>
    <t>Average of CALC-Total Aero revenue - Exp</t>
  </si>
  <si>
    <t>Metrics: Average &gt;= 100M</t>
  </si>
  <si>
    <t>Average</t>
  </si>
  <si>
    <t>Philadephia</t>
  </si>
  <si>
    <t>Summary</t>
  </si>
  <si>
    <t>SLICERS</t>
  </si>
  <si>
    <t>&gt;=100M AVG</t>
  </si>
  <si>
    <t>Annual aircraft operations / Expenses</t>
  </si>
  <si>
    <t>Non Aero Revenue / Expenses</t>
  </si>
  <si>
    <t>Aero revenue -/ Expenes</t>
  </si>
  <si>
    <t>Total Enplanements / Expenes</t>
  </si>
  <si>
    <t>Annual aircraft operations / Employees</t>
  </si>
  <si>
    <t>Non Aero Revenue / Employees</t>
  </si>
  <si>
    <t>Aero revenue -/ Employees</t>
  </si>
  <si>
    <t>Total Enplanements / Employees</t>
  </si>
  <si>
    <t>SEE PIVOT TAB FOR CALCS</t>
  </si>
  <si>
    <t>Norfolk</t>
  </si>
  <si>
    <t>&lt;=100M AVG</t>
  </si>
  <si>
    <t>Additional Graph below for report - larger variance and lower quality efficincy among smaller airports</t>
  </si>
  <si>
    <t>&gt;100M</t>
  </si>
  <si>
    <t>&lt;100M</t>
  </si>
  <si>
    <t>,</t>
  </si>
  <si>
    <t>Efficiency Rating</t>
  </si>
  <si>
    <t>Expense Level</t>
  </si>
  <si>
    <t>expense level</t>
  </si>
  <si>
    <t>airport</t>
  </si>
  <si>
    <t>airport code</t>
  </si>
  <si>
    <t>employees - 2015</t>
  </si>
  <si>
    <t>total operating expenses - 2015</t>
  </si>
  <si>
    <t>total enplanements - 2015</t>
  </si>
  <si>
    <t>annual aircraft operations - 2015</t>
  </si>
  <si>
    <t>total non aero revenue</t>
  </si>
  <si>
    <t>total aero revenue - 2015</t>
  </si>
  <si>
    <t>Calc - expense level</t>
  </si>
  <si>
    <t>Sum</t>
  </si>
  <si>
    <t>&lt;&lt;&lt;&lt;  INDEX</t>
  </si>
  <si>
    <t>Formula cells</t>
  </si>
  <si>
    <t>Input Measures</t>
  </si>
  <si>
    <t>Output Measures</t>
  </si>
  <si>
    <t>Value</t>
  </si>
  <si>
    <t>HARTSFIELD-JACKSON ATLANTA INTERNATIONAL</t>
  </si>
  <si>
    <t>Model Output</t>
  </si>
  <si>
    <t>Constraints</t>
  </si>
  <si>
    <t>*Hardcoded</t>
  </si>
  <si>
    <t>MODEL</t>
  </si>
  <si>
    <t>Select from drop down below - then run solver</t>
  </si>
  <si>
    <t>SUMMARY</t>
  </si>
  <si>
    <t>DETAILED OUTPUT</t>
  </si>
  <si>
    <t>EFF SCORE</t>
  </si>
  <si>
    <t>Data Envelopment Analysis (DEA) is an application of linear programming used to measure the relative efficiency of operating units with the same goals and objectives. In this case, we're analyzing 2 inputs (employees and total operating expenses) and comparing them with 4 outputs (total enplanements, annual aircraft operations, non-aero revenue, and total revenue. A model like this can be applicable to just about any business problem where we want to investigate whether a specific entity e.g., sports player, business location, company  (in this case airports) is operating LESS efficiently than the group as a whole. Once we identify which entities are underperforming, we can perform some post-hoc tests and descriptive analysis to understand wha'ts going on under the hood.</t>
  </si>
  <si>
    <t>Ind. Quick Analysis - hard coded for illustration purposes</t>
  </si>
  <si>
    <t>Algorithm for reference</t>
  </si>
  <si>
    <t>How do airports compare to each other in terms of efficiency?</t>
  </si>
  <si>
    <t>This type of analysis is unique. Here's the conventional process flow, which typically happens in sequence</t>
  </si>
  <si>
    <t>In this case, we actually start with an optimization model, which most consider to fall under the "prescriptive" realm, then work our way back and forth between 1 and 2. Many times, steps 2 and 4 are not considered for this type of problem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</si>
</sst>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0.000"/>
    <numFmt numFmtId="165" formatCode="_(* #,##0_);_(* \(#,##0\);_(* &quot;-&quot;??_);_(@_)"/>
    <numFmt numFmtId="166" formatCode="_(&quot;$&quot;* #,##0_);_(&quot;$&quot;* \(#,##0\);_(&quot;$&quot;* &quot;-&quot;??_);_(@_)"/>
    <numFmt numFmtId="167" formatCode="0.00000"/>
    <numFmt numFmtId="168" formatCode="0.0000"/>
    <numFmt numFmtId="169" formatCode="_([$$-409]* #,##0.00_);_([$$-409]* \(#,##0.00\);_([$$-409]* &quot;-&quot;??_);_(@_)"/>
  </numFmts>
  <fonts count="21" x14ac:knownFonts="1">
    <font>
      <sz val="10"/>
      <name val="Arial"/>
    </font>
    <font>
      <b/>
      <sz val="14"/>
      <name val="Times New Roman"/>
      <family val="1"/>
    </font>
    <font>
      <sz val="12"/>
      <name val="Times New Roman"/>
      <family val="1"/>
    </font>
    <font>
      <b/>
      <sz val="12"/>
      <name val="Times New Roman"/>
      <family val="1"/>
    </font>
    <font>
      <sz val="10"/>
      <name val="Arial"/>
      <family val="2"/>
    </font>
    <font>
      <sz val="10"/>
      <name val="Arial"/>
      <family val="2"/>
    </font>
    <font>
      <sz val="12"/>
      <color theme="0"/>
      <name val="Times New Roman"/>
      <family val="1"/>
    </font>
    <font>
      <i/>
      <sz val="12"/>
      <name val="Times New Roman"/>
      <family val="1"/>
    </font>
    <font>
      <sz val="12"/>
      <name val="Cambria"/>
      <family val="1"/>
      <scheme val="major"/>
    </font>
    <font>
      <b/>
      <sz val="10"/>
      <name val="Arial"/>
      <family val="2"/>
    </font>
    <font>
      <sz val="8"/>
      <name val="Arial"/>
      <family val="2"/>
    </font>
    <font>
      <b/>
      <sz val="11"/>
      <color theme="1"/>
      <name val="Calibri"/>
      <family val="2"/>
      <scheme val="minor"/>
    </font>
    <font>
      <sz val="11"/>
      <name val="Times New Roman"/>
      <family val="1"/>
    </font>
    <font>
      <sz val="10"/>
      <name val="Times New Roman"/>
      <family val="1"/>
    </font>
    <font>
      <b/>
      <sz val="10"/>
      <name val="Times New Roman"/>
      <family val="1"/>
    </font>
    <font>
      <sz val="8"/>
      <name val="Times New Roman"/>
      <family val="1"/>
    </font>
    <font>
      <sz val="14"/>
      <name val="Times New Roman"/>
      <family val="1"/>
    </font>
    <font>
      <b/>
      <sz val="16"/>
      <name val="Times New Roman"/>
      <family val="1"/>
    </font>
    <font>
      <i/>
      <sz val="11"/>
      <name val="Times New Roman"/>
      <family val="1"/>
    </font>
    <font>
      <sz val="10"/>
      <name val="Cambria"/>
      <family val="1"/>
      <scheme val="major"/>
    </font>
    <font>
      <sz val="20"/>
      <name val="Times New Roman"/>
      <family val="1"/>
    </font>
  </fonts>
  <fills count="9">
    <fill>
      <patternFill patternType="none"/>
    </fill>
    <fill>
      <patternFill patternType="gray125"/>
    </fill>
    <fill>
      <patternFill patternType="solid">
        <fgColor indexed="22"/>
        <bgColor indexed="64"/>
      </patternFill>
    </fill>
    <fill>
      <patternFill patternType="solid">
        <fgColor theme="1"/>
        <bgColor indexed="64"/>
      </patternFill>
    </fill>
    <fill>
      <patternFill patternType="solid">
        <fgColor theme="2"/>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s>
  <borders count="16">
    <border>
      <left/>
      <right/>
      <top/>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s>
  <cellStyleXfs count="5">
    <xf numFmtId="0" fontId="0" fillId="0" borderId="0"/>
    <xf numFmtId="43" fontId="4" fillId="0" borderId="0" applyFont="0" applyFill="0" applyBorder="0" applyAlignment="0" applyProtection="0"/>
    <xf numFmtId="44" fontId="4" fillId="0" borderId="0" applyFont="0" applyFill="0" applyBorder="0" applyAlignment="0" applyProtection="0"/>
    <xf numFmtId="9" fontId="5" fillId="0" borderId="0" applyFont="0" applyFill="0" applyBorder="0" applyAlignment="0" applyProtection="0"/>
    <xf numFmtId="0" fontId="4" fillId="0" borderId="14" applyFont="0" applyAlignment="0"/>
  </cellStyleXfs>
  <cellXfs count="153">
    <xf numFmtId="0" fontId="0" fillId="0" borderId="0" xfId="0"/>
    <xf numFmtId="0" fontId="1" fillId="0" borderId="0" xfId="0" applyFont="1"/>
    <xf numFmtId="0" fontId="2" fillId="0" borderId="0" xfId="0" applyFont="1"/>
    <xf numFmtId="0" fontId="3" fillId="0" borderId="0" xfId="0" applyFont="1" applyAlignment="1">
      <alignment horizontal="centerContinuous"/>
    </xf>
    <xf numFmtId="0" fontId="3" fillId="0" borderId="0" xfId="0" applyFont="1"/>
    <xf numFmtId="0" fontId="2" fillId="0" borderId="0" xfId="0" applyFont="1" applyAlignment="1">
      <alignment horizontal="center"/>
    </xf>
    <xf numFmtId="0" fontId="3" fillId="0" borderId="1" xfId="0" applyFont="1" applyBorder="1" applyAlignment="1">
      <alignment horizontal="centerContinuous"/>
    </xf>
    <xf numFmtId="0" fontId="3" fillId="0" borderId="0" xfId="0" applyFont="1" applyAlignment="1">
      <alignment horizontal="right"/>
    </xf>
    <xf numFmtId="0" fontId="3" fillId="0" borderId="0" xfId="0" applyFont="1" applyAlignment="1">
      <alignment horizontal="center"/>
    </xf>
    <xf numFmtId="164" fontId="2" fillId="2" borderId="2" xfId="0" applyNumberFormat="1" applyFont="1" applyFill="1" applyBorder="1"/>
    <xf numFmtId="164" fontId="2" fillId="2" borderId="3" xfId="0" applyNumberFormat="1" applyFont="1" applyFill="1" applyBorder="1"/>
    <xf numFmtId="164" fontId="2" fillId="2" borderId="4" xfId="0" applyNumberFormat="1" applyFont="1" applyFill="1" applyBorder="1"/>
    <xf numFmtId="164" fontId="2" fillId="2" borderId="0" xfId="0" applyNumberFormat="1" applyFont="1" applyFill="1"/>
    <xf numFmtId="165" fontId="0" fillId="0" borderId="0" xfId="1" applyNumberFormat="1" applyFont="1"/>
    <xf numFmtId="166" fontId="0" fillId="0" borderId="0" xfId="2" applyNumberFormat="1" applyFont="1"/>
    <xf numFmtId="37" fontId="0" fillId="0" borderId="0" xfId="2" applyNumberFormat="1" applyFont="1"/>
    <xf numFmtId="0" fontId="2" fillId="0" borderId="0" xfId="0" applyFont="1" applyFill="1"/>
    <xf numFmtId="2" fontId="2" fillId="0" borderId="0" xfId="0" applyNumberFormat="1" applyFont="1" applyFill="1"/>
    <xf numFmtId="1" fontId="2" fillId="0" borderId="0" xfId="0" applyNumberFormat="1" applyFont="1" applyFill="1"/>
    <xf numFmtId="0" fontId="1" fillId="0" borderId="0" xfId="0" applyFont="1" applyBorder="1"/>
    <xf numFmtId="0" fontId="2" fillId="0" borderId="0" xfId="0" applyFont="1" applyBorder="1"/>
    <xf numFmtId="164" fontId="2" fillId="0" borderId="0" xfId="0" applyNumberFormat="1" applyFont="1" applyBorder="1"/>
    <xf numFmtId="0" fontId="0" fillId="0" borderId="0" xfId="0" applyAlignment="1">
      <alignment horizontal="center"/>
    </xf>
    <xf numFmtId="1" fontId="2" fillId="2" borderId="0" xfId="0" applyNumberFormat="1" applyFont="1" applyFill="1"/>
    <xf numFmtId="0" fontId="6" fillId="3" borderId="5" xfId="0" applyFont="1" applyFill="1" applyBorder="1"/>
    <xf numFmtId="0" fontId="0" fillId="0" borderId="5" xfId="0" applyBorder="1"/>
    <xf numFmtId="164" fontId="8" fillId="0" borderId="5" xfId="0" applyNumberFormat="1" applyFont="1" applyBorder="1"/>
    <xf numFmtId="0" fontId="2" fillId="0" borderId="5" xfId="0" applyFont="1" applyBorder="1"/>
    <xf numFmtId="0" fontId="2" fillId="4" borderId="5" xfId="0" applyFont="1" applyFill="1" applyBorder="1"/>
    <xf numFmtId="0" fontId="2" fillId="0" borderId="6" xfId="0" applyFont="1" applyBorder="1"/>
    <xf numFmtId="0" fontId="2" fillId="4" borderId="6" xfId="0" applyFont="1" applyFill="1" applyBorder="1"/>
    <xf numFmtId="0" fontId="0" fillId="0" borderId="0" xfId="0" pivotButton="1"/>
    <xf numFmtId="0" fontId="4" fillId="0" borderId="0" xfId="0" applyFont="1"/>
    <xf numFmtId="0" fontId="9" fillId="0" borderId="5" xfId="0" applyFont="1" applyBorder="1"/>
    <xf numFmtId="9" fontId="0" fillId="0" borderId="5" xfId="3" applyFont="1" applyBorder="1"/>
    <xf numFmtId="166" fontId="4" fillId="0" borderId="0" xfId="2" applyNumberFormat="1" applyFont="1"/>
    <xf numFmtId="169" fontId="0" fillId="0" borderId="0" xfId="0" applyNumberFormat="1"/>
    <xf numFmtId="44" fontId="4" fillId="0" borderId="0" xfId="2" applyNumberFormat="1" applyFont="1"/>
    <xf numFmtId="164" fontId="4" fillId="0" borderId="0" xfId="2" applyNumberFormat="1" applyFont="1"/>
    <xf numFmtId="164" fontId="0" fillId="0" borderId="5" xfId="0" applyNumberFormat="1" applyBorder="1"/>
    <xf numFmtId="44" fontId="0" fillId="0" borderId="5" xfId="0" applyNumberFormat="1" applyBorder="1"/>
    <xf numFmtId="43" fontId="0" fillId="0" borderId="5" xfId="0" applyNumberFormat="1" applyBorder="1"/>
    <xf numFmtId="2" fontId="0" fillId="0" borderId="5" xfId="0" applyNumberFormat="1" applyBorder="1"/>
    <xf numFmtId="167" fontId="0" fillId="0" borderId="5" xfId="0" applyNumberFormat="1" applyBorder="1"/>
    <xf numFmtId="0" fontId="3" fillId="0" borderId="5" xfId="0" applyFont="1" applyBorder="1"/>
    <xf numFmtId="168" fontId="2" fillId="0" borderId="5" xfId="2" applyNumberFormat="1" applyFont="1" applyBorder="1"/>
    <xf numFmtId="10" fontId="2" fillId="0" borderId="5" xfId="3" applyNumberFormat="1" applyFont="1" applyBorder="1"/>
    <xf numFmtId="44" fontId="2" fillId="0" borderId="5" xfId="2" applyFont="1" applyBorder="1"/>
    <xf numFmtId="168" fontId="2" fillId="0" borderId="5" xfId="0" applyNumberFormat="1" applyFont="1" applyBorder="1"/>
    <xf numFmtId="1" fontId="2" fillId="0" borderId="5" xfId="0" applyNumberFormat="1" applyFont="1" applyBorder="1"/>
    <xf numFmtId="168" fontId="8" fillId="0" borderId="5" xfId="0" applyNumberFormat="1" applyFont="1" applyBorder="1"/>
    <xf numFmtId="2" fontId="8" fillId="0" borderId="5" xfId="0" applyNumberFormat="1" applyFont="1" applyBorder="1"/>
    <xf numFmtId="2" fontId="2" fillId="0" borderId="5" xfId="0" applyNumberFormat="1" applyFont="1" applyBorder="1"/>
    <xf numFmtId="2" fontId="0" fillId="0" borderId="0" xfId="1" applyNumberFormat="1" applyFont="1"/>
    <xf numFmtId="2" fontId="0" fillId="0" borderId="0" xfId="2" applyNumberFormat="1" applyFont="1"/>
    <xf numFmtId="9" fontId="11" fillId="6" borderId="0" xfId="3" applyFont="1" applyFill="1" applyAlignment="1">
      <alignment horizontal="center" vertical="center" wrapText="1"/>
    </xf>
    <xf numFmtId="0" fontId="11" fillId="7" borderId="0" xfId="0" applyFont="1" applyFill="1" applyAlignment="1">
      <alignment vertical="center" wrapText="1"/>
    </xf>
    <xf numFmtId="0" fontId="11" fillId="7" borderId="0" xfId="0" applyFont="1" applyFill="1" applyAlignment="1">
      <alignment horizontal="center" vertical="center" wrapText="1"/>
    </xf>
    <xf numFmtId="165" fontId="11" fillId="7" borderId="0" xfId="1" applyNumberFormat="1" applyFont="1" applyFill="1" applyAlignment="1">
      <alignment horizontal="center" vertical="center" wrapText="1"/>
    </xf>
    <xf numFmtId="9" fontId="11" fillId="7" borderId="0" xfId="3" applyFont="1" applyFill="1" applyAlignment="1">
      <alignment horizontal="center" vertical="center" wrapText="1"/>
    </xf>
    <xf numFmtId="37" fontId="11" fillId="7" borderId="0" xfId="2" applyNumberFormat="1" applyFont="1" applyFill="1" applyAlignment="1">
      <alignment horizontal="center" vertical="center" wrapText="1"/>
    </xf>
    <xf numFmtId="166" fontId="11" fillId="7" borderId="0" xfId="2" applyNumberFormat="1" applyFont="1" applyFill="1" applyAlignment="1">
      <alignment horizontal="center" vertical="center" wrapText="1"/>
    </xf>
    <xf numFmtId="0" fontId="15" fillId="0" borderId="0" xfId="0" applyFont="1"/>
    <xf numFmtId="0" fontId="4" fillId="0" borderId="0" xfId="2" applyNumberFormat="1" applyFont="1"/>
    <xf numFmtId="0" fontId="2" fillId="6" borderId="0" xfId="0" applyFont="1" applyFill="1"/>
    <xf numFmtId="0" fontId="3" fillId="0" borderId="0" xfId="0" applyFont="1" applyBorder="1" applyAlignment="1">
      <alignment horizontal="centerContinuous"/>
    </xf>
    <xf numFmtId="0" fontId="16" fillId="0" borderId="0" xfId="0" applyFont="1"/>
    <xf numFmtId="0" fontId="17" fillId="0" borderId="0" xfId="0" applyFont="1" applyAlignment="1">
      <alignment horizontal="centerContinuous"/>
    </xf>
    <xf numFmtId="0" fontId="2" fillId="0" borderId="0" xfId="0" applyFont="1" applyAlignment="1">
      <alignment horizontal="left" vertical="center" indent="1"/>
    </xf>
    <xf numFmtId="0" fontId="3" fillId="0" borderId="5" xfId="0" applyFont="1" applyBorder="1" applyAlignment="1">
      <alignment horizontal="center"/>
    </xf>
    <xf numFmtId="0" fontId="2" fillId="5" borderId="0" xfId="0" applyFont="1" applyFill="1"/>
    <xf numFmtId="0" fontId="3" fillId="0" borderId="0" xfId="0" applyFont="1" applyBorder="1" applyAlignment="1">
      <alignment horizontal="center"/>
    </xf>
    <xf numFmtId="0" fontId="14" fillId="0" borderId="0" xfId="0" applyFont="1" applyAlignment="1">
      <alignment horizontal="right"/>
    </xf>
    <xf numFmtId="0" fontId="13" fillId="0" borderId="0" xfId="0" applyFont="1" applyBorder="1"/>
    <xf numFmtId="0" fontId="2" fillId="0" borderId="1" xfId="0" applyFont="1" applyBorder="1"/>
    <xf numFmtId="166" fontId="4" fillId="0" borderId="1" xfId="2" applyNumberFormat="1" applyFont="1" applyBorder="1"/>
    <xf numFmtId="0" fontId="2" fillId="0" borderId="11" xfId="0" applyFont="1" applyBorder="1"/>
    <xf numFmtId="165" fontId="4" fillId="0" borderId="11" xfId="1" applyNumberFormat="1" applyFont="1" applyBorder="1" applyAlignment="1">
      <alignment horizontal="right" vertical="center"/>
    </xf>
    <xf numFmtId="165" fontId="4" fillId="0" borderId="12" xfId="1" applyNumberFormat="1" applyFont="1" applyBorder="1" applyAlignment="1">
      <alignment horizontal="right" vertical="center"/>
    </xf>
    <xf numFmtId="166" fontId="4" fillId="0" borderId="13" xfId="2" applyNumberFormat="1" applyFont="1" applyBorder="1"/>
    <xf numFmtId="165" fontId="4" fillId="0" borderId="11" xfId="1" applyNumberFormat="1" applyFont="1" applyBorder="1" applyAlignment="1">
      <alignment horizontal="right"/>
    </xf>
    <xf numFmtId="165" fontId="4" fillId="0" borderId="12" xfId="1" applyNumberFormat="1" applyFont="1" applyBorder="1" applyAlignment="1">
      <alignment horizontal="right"/>
    </xf>
    <xf numFmtId="37" fontId="4" fillId="0" borderId="0" xfId="2" applyNumberFormat="1" applyFont="1" applyBorder="1" applyAlignment="1">
      <alignment horizontal="right"/>
    </xf>
    <xf numFmtId="37" fontId="4" fillId="0" borderId="9" xfId="2" applyNumberFormat="1" applyFont="1" applyBorder="1" applyAlignment="1">
      <alignment horizontal="right"/>
    </xf>
    <xf numFmtId="166" fontId="4" fillId="0" borderId="0" xfId="2" applyNumberFormat="1" applyFont="1" applyBorder="1" applyAlignment="1">
      <alignment horizontal="right"/>
    </xf>
    <xf numFmtId="166" fontId="4" fillId="0" borderId="9" xfId="2" applyNumberFormat="1" applyFont="1" applyBorder="1" applyAlignment="1">
      <alignment horizontal="right"/>
    </xf>
    <xf numFmtId="166" fontId="4" fillId="0" borderId="1" xfId="2" applyNumberFormat="1" applyFont="1" applyBorder="1" applyAlignment="1">
      <alignment horizontal="right"/>
    </xf>
    <xf numFmtId="166" fontId="4" fillId="0" borderId="13" xfId="2" applyNumberFormat="1" applyFont="1" applyBorder="1" applyAlignment="1">
      <alignment horizontal="right"/>
    </xf>
    <xf numFmtId="0" fontId="2" fillId="0" borderId="11" xfId="0" applyFont="1" applyBorder="1" applyAlignment="1">
      <alignment horizontal="left" vertical="center"/>
    </xf>
    <xf numFmtId="0" fontId="2" fillId="0" borderId="11" xfId="0" applyFont="1" applyBorder="1" applyAlignment="1">
      <alignment horizontal="center" vertical="center"/>
    </xf>
    <xf numFmtId="0" fontId="2" fillId="0" borderId="1" xfId="0" applyFont="1" applyBorder="1" applyAlignment="1">
      <alignment horizontal="left" vertical="center"/>
    </xf>
    <xf numFmtId="164" fontId="2" fillId="5" borderId="1" xfId="0" applyNumberFormat="1" applyFont="1" applyFill="1" applyBorder="1" applyAlignment="1">
      <alignment horizontal="center" vertical="center"/>
    </xf>
    <xf numFmtId="164" fontId="2" fillId="5" borderId="13" xfId="0" applyNumberFormat="1" applyFont="1" applyFill="1" applyBorder="1" applyAlignment="1">
      <alignment horizontal="center" vertical="center"/>
    </xf>
    <xf numFmtId="0" fontId="2" fillId="0" borderId="10" xfId="0" applyFont="1" applyBorder="1"/>
    <xf numFmtId="0" fontId="2" fillId="0" borderId="11" xfId="0" applyFont="1" applyBorder="1" applyAlignment="1">
      <alignment horizontal="center"/>
    </xf>
    <xf numFmtId="0" fontId="3" fillId="0" borderId="11" xfId="0" applyFont="1" applyBorder="1" applyAlignment="1">
      <alignment horizontal="center"/>
    </xf>
    <xf numFmtId="0" fontId="3" fillId="0" borderId="12" xfId="0" applyFont="1" applyBorder="1" applyAlignment="1">
      <alignment horizontal="center"/>
    </xf>
    <xf numFmtId="0" fontId="2" fillId="0" borderId="0" xfId="0" applyFont="1" applyBorder="1" applyAlignment="1">
      <alignment horizontal="left" indent="1"/>
    </xf>
    <xf numFmtId="0" fontId="2" fillId="0" borderId="9" xfId="0" applyFont="1" applyFill="1" applyBorder="1"/>
    <xf numFmtId="2" fontId="2" fillId="0" borderId="9" xfId="0" applyNumberFormat="1" applyFont="1" applyFill="1" applyBorder="1"/>
    <xf numFmtId="1" fontId="2" fillId="0" borderId="9" xfId="0" applyNumberFormat="1" applyFont="1" applyFill="1" applyBorder="1"/>
    <xf numFmtId="0" fontId="2" fillId="0" borderId="7" xfId="0" applyFont="1" applyBorder="1"/>
    <xf numFmtId="0" fontId="2" fillId="0" borderId="13" xfId="0" applyFont="1" applyFill="1" applyBorder="1"/>
    <xf numFmtId="168" fontId="13" fillId="0" borderId="0" xfId="2" applyNumberFormat="1" applyFont="1" applyBorder="1"/>
    <xf numFmtId="44" fontId="13" fillId="0" borderId="0" xfId="2" applyFont="1" applyBorder="1"/>
    <xf numFmtId="0" fontId="2" fillId="8" borderId="0" xfId="0" applyFont="1" applyFill="1" applyBorder="1" applyAlignment="1">
      <alignment horizontal="center"/>
    </xf>
    <xf numFmtId="164" fontId="2" fillId="5" borderId="5" xfId="0" applyNumberFormat="1" applyFont="1" applyFill="1" applyBorder="1"/>
    <xf numFmtId="0" fontId="1" fillId="0" borderId="12" xfId="0" applyFont="1" applyBorder="1" applyAlignment="1">
      <alignment horizontal="center" vertical="center"/>
    </xf>
    <xf numFmtId="0" fontId="2" fillId="3" borderId="0" xfId="0" applyFont="1" applyFill="1"/>
    <xf numFmtId="0" fontId="2" fillId="0" borderId="12" xfId="0" applyFont="1" applyBorder="1"/>
    <xf numFmtId="0" fontId="2" fillId="0" borderId="8" xfId="0" applyFont="1" applyBorder="1"/>
    <xf numFmtId="0" fontId="0" fillId="0" borderId="0" xfId="0" applyBorder="1"/>
    <xf numFmtId="0" fontId="2" fillId="0" borderId="9" xfId="0" applyFont="1" applyBorder="1"/>
    <xf numFmtId="0" fontId="0" fillId="0" borderId="8" xfId="0" applyBorder="1"/>
    <xf numFmtId="0" fontId="12" fillId="0" borderId="9" xfId="0" applyFont="1" applyBorder="1"/>
    <xf numFmtId="0" fontId="2" fillId="0" borderId="13" xfId="0" applyFont="1" applyBorder="1"/>
    <xf numFmtId="0" fontId="4" fillId="0" borderId="0" xfId="0" applyFont="1" applyBorder="1"/>
    <xf numFmtId="164" fontId="19" fillId="0" borderId="0" xfId="0" applyNumberFormat="1" applyFont="1" applyBorder="1"/>
    <xf numFmtId="0" fontId="13" fillId="0" borderId="1" xfId="0" applyFont="1" applyBorder="1"/>
    <xf numFmtId="0" fontId="13" fillId="8" borderId="0" xfId="0" applyFont="1" applyFill="1" applyBorder="1"/>
    <xf numFmtId="0" fontId="2" fillId="0" borderId="0" xfId="0" applyFont="1" applyFill="1" applyBorder="1"/>
    <xf numFmtId="0" fontId="20" fillId="0" borderId="0" xfId="0" applyFont="1" applyAlignment="1">
      <alignment horizontal="center"/>
    </xf>
    <xf numFmtId="0" fontId="2" fillId="8" borderId="0" xfId="0" applyFont="1" applyFill="1" applyBorder="1" applyAlignment="1"/>
    <xf numFmtId="0" fontId="4" fillId="0" borderId="14" xfId="4" applyFont="1"/>
    <xf numFmtId="0" fontId="19" fillId="0" borderId="14" xfId="4" applyFont="1" applyAlignment="1">
      <alignment horizontal="center" vertical="center"/>
    </xf>
    <xf numFmtId="0" fontId="2" fillId="6" borderId="14" xfId="4" applyFont="1" applyFill="1"/>
    <xf numFmtId="0" fontId="2" fillId="6" borderId="14" xfId="4" applyFont="1" applyFill="1" applyAlignment="1">
      <alignment horizontal="center" vertical="center"/>
    </xf>
    <xf numFmtId="165" fontId="2" fillId="0" borderId="0" xfId="1" applyNumberFormat="1" applyFont="1" applyFill="1" applyBorder="1" applyAlignment="1">
      <alignment horizontal="center" vertical="center"/>
    </xf>
    <xf numFmtId="165" fontId="2" fillId="6" borderId="15" xfId="1" applyNumberFormat="1" applyFont="1" applyFill="1" applyBorder="1" applyAlignment="1">
      <alignment horizontal="center" vertical="center"/>
    </xf>
    <xf numFmtId="0" fontId="16" fillId="6" borderId="5" xfId="0" applyFont="1" applyFill="1" applyBorder="1" applyAlignment="1">
      <alignment horizontal="center"/>
    </xf>
    <xf numFmtId="164" fontId="16" fillId="5" borderId="5" xfId="0" applyNumberFormat="1" applyFont="1" applyFill="1" applyBorder="1" applyAlignment="1">
      <alignment horizontal="center"/>
    </xf>
    <xf numFmtId="0" fontId="13" fillId="0" borderId="0" xfId="0" applyFont="1" applyBorder="1" applyAlignment="1">
      <alignment horizontal="left"/>
    </xf>
    <xf numFmtId="10" fontId="13" fillId="0" borderId="15" xfId="3" applyNumberFormat="1" applyFont="1" applyBorder="1" applyAlignment="1">
      <alignment horizontal="center"/>
    </xf>
    <xf numFmtId="0" fontId="2" fillId="8" borderId="0" xfId="0" applyFont="1" applyFill="1" applyBorder="1" applyAlignment="1">
      <alignment horizontal="left" indent="4"/>
    </xf>
    <xf numFmtId="0" fontId="2" fillId="8" borderId="0" xfId="0" applyFont="1" applyFill="1" applyBorder="1" applyAlignment="1">
      <alignment horizontal="left" vertical="center" indent="4"/>
    </xf>
    <xf numFmtId="0" fontId="20" fillId="0" borderId="0" xfId="0" applyFont="1" applyAlignment="1">
      <alignment horizontal="center"/>
    </xf>
    <xf numFmtId="0" fontId="16" fillId="0" borderId="0" xfId="0" applyFont="1" applyAlignment="1">
      <alignment horizontal="left" vertical="top" wrapText="1"/>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0" borderId="8" xfId="0" applyFont="1" applyBorder="1" applyAlignment="1">
      <alignment horizontal="center" vertical="center"/>
    </xf>
    <xf numFmtId="0" fontId="3" fillId="0" borderId="0" xfId="0" applyFont="1" applyBorder="1" applyAlignment="1">
      <alignment horizontal="center" vertical="center"/>
    </xf>
    <xf numFmtId="0" fontId="3" fillId="0" borderId="7" xfId="0" applyFont="1" applyBorder="1" applyAlignment="1">
      <alignment horizontal="center" vertical="center"/>
    </xf>
    <xf numFmtId="0" fontId="3" fillId="0" borderId="1" xfId="0" applyFont="1" applyBorder="1" applyAlignment="1">
      <alignment horizontal="center" vertical="center"/>
    </xf>
    <xf numFmtId="0" fontId="0" fillId="0" borderId="5" xfId="4" applyFont="1" applyBorder="1" applyAlignment="1">
      <alignment horizontal="center"/>
    </xf>
    <xf numFmtId="0" fontId="2" fillId="0" borderId="0" xfId="0" applyFont="1" applyBorder="1" applyAlignment="1">
      <alignment horizontal="left" vertical="center" indent="10"/>
    </xf>
    <xf numFmtId="0" fontId="18" fillId="0" borderId="0" xfId="0" applyFont="1" applyBorder="1" applyAlignment="1">
      <alignment horizontal="center" vertical="top"/>
    </xf>
    <xf numFmtId="0" fontId="6" fillId="3" borderId="0" xfId="0" applyFont="1" applyFill="1" applyAlignment="1">
      <alignment horizontal="center"/>
    </xf>
    <xf numFmtId="0" fontId="0" fillId="4" borderId="5" xfId="0" applyFill="1" applyBorder="1" applyAlignment="1">
      <alignment horizontal="center"/>
    </xf>
    <xf numFmtId="0" fontId="2" fillId="0" borderId="5" xfId="0" applyFont="1" applyBorder="1" applyAlignment="1">
      <alignment horizontal="center" vertical="center"/>
    </xf>
    <xf numFmtId="0" fontId="2" fillId="0" borderId="0" xfId="0" applyFont="1" applyAlignment="1">
      <alignment horizontal="center" wrapText="1"/>
    </xf>
    <xf numFmtId="0" fontId="7" fillId="0" borderId="1" xfId="0" applyFont="1" applyBorder="1" applyAlignment="1">
      <alignment horizontal="center"/>
    </xf>
    <xf numFmtId="0" fontId="2" fillId="0" borderId="5" xfId="0" applyFont="1" applyBorder="1" applyAlignment="1">
      <alignment horizontal="center"/>
    </xf>
    <xf numFmtId="0" fontId="6" fillId="3" borderId="5" xfId="0" applyFont="1" applyFill="1" applyBorder="1" applyAlignment="1">
      <alignment horizontal="center"/>
    </xf>
  </cellXfs>
  <cellStyles count="5">
    <cellStyle name="Comma" xfId="1" builtinId="3"/>
    <cellStyle name="Currency" xfId="2" builtinId="4"/>
    <cellStyle name="Normal" xfId="0" builtinId="0"/>
    <cellStyle name="Percent" xfId="3" builtinId="5"/>
    <cellStyle name="Style 1" xfId="4" xr:uid="{E55E6BBD-02A2-4AF9-89C9-F0308BA1704E}"/>
  </cellStyles>
  <dxfs count="40">
    <dxf>
      <font>
        <b val="0"/>
        <i val="0"/>
        <strike val="0"/>
        <condense val="0"/>
        <extend val="0"/>
        <outline val="0"/>
        <shadow val="0"/>
        <u val="none"/>
        <vertAlign val="baseline"/>
        <sz val="10"/>
        <color auto="1"/>
        <name val="Arial"/>
        <scheme val="none"/>
      </font>
      <numFmt numFmtId="34" formatCode="_(&quot;$&quot;* #,##0.00_);_(&quot;$&quot;* \(#,##0.00\);_(&quot;$&quot;* &quot;-&quot;??_);_(@_)"/>
    </dxf>
    <dxf>
      <font>
        <b val="0"/>
        <i val="0"/>
        <strike val="0"/>
        <condense val="0"/>
        <extend val="0"/>
        <outline val="0"/>
        <shadow val="0"/>
        <u val="none"/>
        <vertAlign val="baseline"/>
        <sz val="10"/>
        <color auto="1"/>
        <name val="Arial"/>
        <scheme val="none"/>
      </font>
      <numFmt numFmtId="34" formatCode="_(&quot;$&quot;* #,##0.00_);_(&quot;$&quot;* \(#,##0.00\);_(&quot;$&quot;* &quot;-&quot;??_);_(@_)"/>
    </dxf>
    <dxf>
      <font>
        <b val="0"/>
        <i val="0"/>
        <strike val="0"/>
        <condense val="0"/>
        <extend val="0"/>
        <outline val="0"/>
        <shadow val="0"/>
        <u val="none"/>
        <vertAlign val="baseline"/>
        <sz val="10"/>
        <color auto="1"/>
        <name val="Arial"/>
        <scheme val="none"/>
      </font>
      <numFmt numFmtId="164" formatCode="0.000"/>
    </dxf>
    <dxf>
      <font>
        <b val="0"/>
        <i val="0"/>
        <strike val="0"/>
        <condense val="0"/>
        <extend val="0"/>
        <outline val="0"/>
        <shadow val="0"/>
        <u val="none"/>
        <vertAlign val="baseline"/>
        <sz val="10"/>
        <color auto="1"/>
        <name val="Arial"/>
        <scheme val="none"/>
      </font>
      <numFmt numFmtId="164" formatCode="0.000"/>
    </dxf>
    <dxf>
      <font>
        <b val="0"/>
        <i val="0"/>
        <strike val="0"/>
        <condense val="0"/>
        <extend val="0"/>
        <outline val="0"/>
        <shadow val="0"/>
        <u val="none"/>
        <vertAlign val="baseline"/>
        <sz val="10"/>
        <color auto="1"/>
        <name val="Arial"/>
        <scheme val="none"/>
      </font>
      <numFmt numFmtId="0" formatCode="General"/>
    </dxf>
    <dxf>
      <font>
        <b val="0"/>
        <i val="0"/>
        <strike val="0"/>
        <condense val="0"/>
        <extend val="0"/>
        <outline val="0"/>
        <shadow val="0"/>
        <u val="none"/>
        <vertAlign val="baseline"/>
        <sz val="10"/>
        <color auto="1"/>
        <name val="Arial"/>
        <scheme val="none"/>
      </font>
      <numFmt numFmtId="0" formatCode="General"/>
    </dxf>
    <dxf>
      <font>
        <b val="0"/>
        <i val="0"/>
        <strike val="0"/>
        <condense val="0"/>
        <extend val="0"/>
        <outline val="0"/>
        <shadow val="0"/>
        <u val="none"/>
        <vertAlign val="baseline"/>
        <sz val="10"/>
        <color auto="1"/>
        <name val="Arial"/>
        <scheme val="none"/>
      </font>
      <numFmt numFmtId="0" formatCode="General"/>
    </dxf>
    <dxf>
      <font>
        <b val="0"/>
        <i val="0"/>
        <strike val="0"/>
        <condense val="0"/>
        <extend val="0"/>
        <outline val="0"/>
        <shadow val="0"/>
        <u val="none"/>
        <vertAlign val="baseline"/>
        <sz val="10"/>
        <color auto="1"/>
        <name val="Arial"/>
        <scheme val="none"/>
      </font>
      <numFmt numFmtId="0" formatCode="General"/>
    </dxf>
    <dxf>
      <font>
        <b val="0"/>
        <i val="0"/>
        <strike val="0"/>
        <condense val="0"/>
        <extend val="0"/>
        <outline val="0"/>
        <shadow val="0"/>
        <u val="none"/>
        <vertAlign val="baseline"/>
        <sz val="10"/>
        <color auto="1"/>
        <name val="Arial"/>
        <scheme val="none"/>
      </font>
      <numFmt numFmtId="166" formatCode="_(&quot;$&quot;* #,##0_);_(&quot;$&quot;* \(#,##0\);_(&quot;$&quot;* &quot;-&quot;??_);_(@_)"/>
    </dxf>
    <dxf>
      <font>
        <b val="0"/>
        <i val="0"/>
        <strike val="0"/>
        <condense val="0"/>
        <extend val="0"/>
        <outline val="0"/>
        <shadow val="0"/>
        <u val="none"/>
        <vertAlign val="baseline"/>
        <sz val="10"/>
        <color auto="1"/>
        <name val="Arial"/>
        <scheme val="none"/>
      </font>
      <numFmt numFmtId="2" formatCode="0.00"/>
    </dxf>
    <dxf>
      <font>
        <b val="0"/>
        <i val="0"/>
        <strike val="0"/>
        <condense val="0"/>
        <extend val="0"/>
        <outline val="0"/>
        <shadow val="0"/>
        <u val="none"/>
        <vertAlign val="baseline"/>
        <sz val="10"/>
        <color auto="1"/>
        <name val="Arial"/>
        <scheme val="none"/>
      </font>
      <numFmt numFmtId="2" formatCode="0.00"/>
    </dxf>
    <dxf>
      <font>
        <b val="0"/>
        <i val="0"/>
        <strike val="0"/>
        <condense val="0"/>
        <extend val="0"/>
        <outline val="0"/>
        <shadow val="0"/>
        <u val="none"/>
        <vertAlign val="baseline"/>
        <sz val="10"/>
        <color auto="1"/>
        <name val="Arial"/>
        <scheme val="none"/>
      </font>
      <numFmt numFmtId="2" formatCode="0.00"/>
    </dxf>
    <dxf>
      <font>
        <b val="0"/>
        <i val="0"/>
        <strike val="0"/>
        <condense val="0"/>
        <extend val="0"/>
        <outline val="0"/>
        <shadow val="0"/>
        <u val="none"/>
        <vertAlign val="baseline"/>
        <sz val="10"/>
        <color auto="1"/>
        <name val="Arial"/>
        <scheme val="none"/>
      </font>
      <numFmt numFmtId="2" formatCode="0.00"/>
    </dxf>
    <dxf>
      <font>
        <b val="0"/>
        <i val="0"/>
        <strike val="0"/>
        <condense val="0"/>
        <extend val="0"/>
        <outline val="0"/>
        <shadow val="0"/>
        <u val="none"/>
        <vertAlign val="baseline"/>
        <sz val="10"/>
        <color auto="1"/>
        <name val="Arial"/>
        <scheme val="none"/>
      </font>
      <numFmt numFmtId="2" formatCode="0.00"/>
    </dxf>
    <dxf>
      <font>
        <b val="0"/>
        <i val="0"/>
        <strike val="0"/>
        <condense val="0"/>
        <extend val="0"/>
        <outline val="0"/>
        <shadow val="0"/>
        <u val="none"/>
        <vertAlign val="baseline"/>
        <sz val="10"/>
        <color auto="1"/>
        <name val="Arial"/>
        <scheme val="none"/>
      </font>
      <numFmt numFmtId="2" formatCode="0.00"/>
    </dxf>
    <dxf>
      <alignment horizontal="center" vertical="bottom" textRotation="0" wrapText="0" indent="0" justifyLastLine="0" shrinkToFit="0" readingOrder="0"/>
    </dxf>
    <dxf>
      <font>
        <b val="0"/>
        <i val="0"/>
        <strike val="0"/>
        <condense val="0"/>
        <extend val="0"/>
        <outline val="0"/>
        <shadow val="0"/>
        <u val="none"/>
        <vertAlign val="baseline"/>
        <sz val="10"/>
        <color auto="1"/>
        <name val="Arial"/>
        <scheme val="none"/>
      </font>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4" formatCode="0.000"/>
    </dxf>
    <dxf>
      <numFmt numFmtId="167" formatCode="0.00000"/>
    </dxf>
    <dxf>
      <numFmt numFmtId="34" formatCode="_(&quot;$&quot;* #,##0.00_);_(&quot;$&quot;* \(#,##0.00\);_(&quot;$&quot;* &quot;-&quot;??_);_(@_)"/>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4" formatCode="0.000"/>
    </dxf>
    <dxf>
      <numFmt numFmtId="167" formatCode="0.00000"/>
    </dxf>
    <dxf>
      <numFmt numFmtId="34" formatCode="_(&quot;$&quot;* #,##0.00_);_(&quot;$&quot;* \(#,##0.00\);_(&quot;$&quot;* &quot;-&quot;??_);_(@_)"/>
    </dxf>
    <dxf>
      <numFmt numFmtId="2" formatCode="0.00"/>
    </dxf>
    <dxf>
      <fill>
        <patternFill>
          <bgColor theme="6" tint="0.79998168889431442"/>
        </patternFill>
      </fill>
    </dxf>
    <dxf>
      <fill>
        <patternFill>
          <bgColor theme="6" tint="0.79998168889431442"/>
        </patternFill>
      </fill>
    </dxf>
  </dxfs>
  <tableStyles count="0" defaultTableStyle="TableStyleMedium9" defaultPivotStyle="PivotStyleLight16"/>
  <colors>
    <mruColors>
      <color rgb="FFFFFF97"/>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data id="1">
      <cx:numDim type="val">
        <cx:f>_xlchart.v1.1</cx:f>
      </cx:numDim>
    </cx:data>
  </cx:chartData>
  <cx:chart>
    <cx:title pos="t" align="ctr" overlay="0">
      <cx:tx>
        <cx:txData>
          <cx:v>Distribution of Efficiency by Expense Size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Distribution of Efficiency by Expense Size</a:t>
          </a:r>
        </a:p>
      </cx:txPr>
    </cx:title>
    <cx:plotArea>
      <cx:plotAreaRegion>
        <cx:series layoutId="boxWhisker" uniqueId="{7790C49F-2C4A-4CB6-A86B-F2AC742C263C}">
          <cx:tx>
            <cx:txData>
              <cx:f/>
              <cx:v>&lt;100M</cx:v>
            </cx:txData>
          </cx:tx>
          <cx:spPr>
            <a:solidFill>
              <a:schemeClr val="accent1">
                <a:lumMod val="60000"/>
                <a:lumOff val="40000"/>
              </a:schemeClr>
            </a:solidFill>
          </cx:spPr>
          <cx:dataId val="0"/>
          <cx:layoutPr>
            <cx:visibility meanLine="0" meanMarker="1" nonoutliers="0" outliers="1"/>
            <cx:statistics quartileMethod="exclusive"/>
          </cx:layoutPr>
        </cx:series>
        <cx:series layoutId="boxWhisker" uniqueId="{00000001-9F33-46A3-BAFC-BF971BDF0BE5}">
          <cx:tx>
            <cx:txData>
              <cx:f/>
              <cx:v>&gt;= 100 M</cx:v>
            </cx:txData>
          </cx:tx>
          <cx:spPr>
            <a:solidFill>
              <a:schemeClr val="accent1">
                <a:lumMod val="75000"/>
              </a:schemeClr>
            </a:solidFill>
            <a:ln>
              <a:solidFill>
                <a:schemeClr val="accent1">
                  <a:lumMod val="75000"/>
                </a:schemeClr>
              </a:solidFill>
            </a:ln>
          </cx:spPr>
          <cx:dataId val="1"/>
          <cx:layoutPr>
            <cx:statistics quartileMethod="exclusive"/>
          </cx:layoutPr>
        </cx:series>
      </cx:plotAreaRegion>
      <cx:axis id="0" hidden="1">
        <cx:catScaling gapWidth="1"/>
        <cx:tickLabels/>
      </cx:axis>
      <cx:axis id="1">
        <cx:valScaling max="1"/>
        <cx:title>
          <cx:tx>
            <cx:txData>
              <cx:v>Efficiency</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Efficiency</a:t>
              </a:r>
            </a:p>
          </cx:txPr>
        </cx:title>
        <cx:majorGridlines/>
        <cx:tickLabels/>
        <cx:numFmt formatCode="0.00" sourceLinked="0"/>
      </cx:axis>
    </cx:plotArea>
    <cx:legend pos="b" align="ctr" overlay="0"/>
  </cx:chart>
  <cx:spPr>
    <a:ln>
      <a:solidFill>
        <a:schemeClr val="tx1"/>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oneCell">
    <xdr:from>
      <xdr:col>16</xdr:col>
      <xdr:colOff>153928</xdr:colOff>
      <xdr:row>6</xdr:row>
      <xdr:rowOff>168304</xdr:rowOff>
    </xdr:from>
    <xdr:to>
      <xdr:col>19</xdr:col>
      <xdr:colOff>562930</xdr:colOff>
      <xdr:row>17</xdr:row>
      <xdr:rowOff>160243</xdr:rowOff>
    </xdr:to>
    <xdr:pic>
      <xdr:nvPicPr>
        <xdr:cNvPr id="3" name="Picture 2" descr="4 – Weights to determine relative efficiency – Ali Emrouznejad's Data  Envelopment Analysis">
          <a:extLst>
            <a:ext uri="{FF2B5EF4-FFF2-40B4-BE49-F238E27FC236}">
              <a16:creationId xmlns:a16="http://schemas.microsoft.com/office/drawing/2014/main" id="{FB0C15E6-5253-44F4-BC0B-34CEA2CC3D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60681" y="1195025"/>
          <a:ext cx="3934489" cy="22433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179456</xdr:colOff>
      <xdr:row>12</xdr:row>
      <xdr:rowOff>166755</xdr:rowOff>
    </xdr:from>
    <xdr:to>
      <xdr:col>4</xdr:col>
      <xdr:colOff>633345</xdr:colOff>
      <xdr:row>14</xdr:row>
      <xdr:rowOff>180561</xdr:rowOff>
    </xdr:to>
    <xdr:sp macro="" textlink="">
      <xdr:nvSpPr>
        <xdr:cNvPr id="4" name="Rectangle: Rounded Corners 3">
          <a:extLst>
            <a:ext uri="{FF2B5EF4-FFF2-40B4-BE49-F238E27FC236}">
              <a16:creationId xmlns:a16="http://schemas.microsoft.com/office/drawing/2014/main" id="{63048983-B27D-49FF-B09B-94F992C6D111}"/>
            </a:ext>
          </a:extLst>
        </xdr:cNvPr>
        <xdr:cNvSpPr/>
      </xdr:nvSpPr>
      <xdr:spPr>
        <a:xfrm>
          <a:off x="759239" y="2334038"/>
          <a:ext cx="1668671" cy="400327"/>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chemeClr val="tx1"/>
              </a:solidFill>
            </a:rPr>
            <a:t>Descriptive</a:t>
          </a:r>
          <a:r>
            <a:rPr lang="en-US" sz="1200" baseline="0">
              <a:solidFill>
                <a:schemeClr val="tx1"/>
              </a:solidFill>
            </a:rPr>
            <a:t> Analysis</a:t>
          </a:r>
          <a:endParaRPr lang="en-US" sz="1200">
            <a:solidFill>
              <a:schemeClr val="tx1"/>
            </a:solidFill>
          </a:endParaRPr>
        </a:p>
      </xdr:txBody>
    </xdr:sp>
    <xdr:clientData/>
  </xdr:twoCellAnchor>
  <xdr:twoCellAnchor>
    <xdr:from>
      <xdr:col>4</xdr:col>
      <xdr:colOff>1450008</xdr:colOff>
      <xdr:row>12</xdr:row>
      <xdr:rowOff>166755</xdr:rowOff>
    </xdr:from>
    <xdr:to>
      <xdr:col>5</xdr:col>
      <xdr:colOff>54114</xdr:colOff>
      <xdr:row>14</xdr:row>
      <xdr:rowOff>180561</xdr:rowOff>
    </xdr:to>
    <xdr:sp macro="" textlink="">
      <xdr:nvSpPr>
        <xdr:cNvPr id="5" name="Rectangle: Rounded Corners 4">
          <a:extLst>
            <a:ext uri="{FF2B5EF4-FFF2-40B4-BE49-F238E27FC236}">
              <a16:creationId xmlns:a16="http://schemas.microsoft.com/office/drawing/2014/main" id="{7623C835-6DA5-42D2-A305-81D02B5890EA}"/>
            </a:ext>
          </a:extLst>
        </xdr:cNvPr>
        <xdr:cNvSpPr/>
      </xdr:nvSpPr>
      <xdr:spPr>
        <a:xfrm>
          <a:off x="3244573" y="2334038"/>
          <a:ext cx="1668671" cy="400327"/>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chemeClr val="tx1"/>
              </a:solidFill>
            </a:rPr>
            <a:t>Predictive analysis</a:t>
          </a:r>
        </a:p>
      </xdr:txBody>
    </xdr:sp>
    <xdr:clientData/>
  </xdr:twoCellAnchor>
  <xdr:twoCellAnchor>
    <xdr:from>
      <xdr:col>5</xdr:col>
      <xdr:colOff>870777</xdr:colOff>
      <xdr:row>12</xdr:row>
      <xdr:rowOff>166755</xdr:rowOff>
    </xdr:from>
    <xdr:to>
      <xdr:col>7</xdr:col>
      <xdr:colOff>13252</xdr:colOff>
      <xdr:row>14</xdr:row>
      <xdr:rowOff>180561</xdr:rowOff>
    </xdr:to>
    <xdr:sp macro="" textlink="">
      <xdr:nvSpPr>
        <xdr:cNvPr id="6" name="Rectangle: Rounded Corners 5">
          <a:extLst>
            <a:ext uri="{FF2B5EF4-FFF2-40B4-BE49-F238E27FC236}">
              <a16:creationId xmlns:a16="http://schemas.microsoft.com/office/drawing/2014/main" id="{28A17A51-E618-48D9-A281-AF30E09FDF3B}"/>
            </a:ext>
          </a:extLst>
        </xdr:cNvPr>
        <xdr:cNvSpPr/>
      </xdr:nvSpPr>
      <xdr:spPr>
        <a:xfrm>
          <a:off x="5729907" y="2334038"/>
          <a:ext cx="1668671" cy="400327"/>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chemeClr val="tx1"/>
              </a:solidFill>
            </a:rPr>
            <a:t>Prescriptive analysis</a:t>
          </a:r>
        </a:p>
        <a:p>
          <a:pPr algn="ctr"/>
          <a:endParaRPr lang="en-US" sz="1200">
            <a:solidFill>
              <a:schemeClr val="tx1"/>
            </a:solidFill>
          </a:endParaRPr>
        </a:p>
      </xdr:txBody>
    </xdr:sp>
    <xdr:clientData/>
  </xdr:twoCellAnchor>
  <xdr:twoCellAnchor>
    <xdr:from>
      <xdr:col>7</xdr:col>
      <xdr:colOff>829916</xdr:colOff>
      <xdr:row>12</xdr:row>
      <xdr:rowOff>166755</xdr:rowOff>
    </xdr:from>
    <xdr:to>
      <xdr:col>8</xdr:col>
      <xdr:colOff>924891</xdr:colOff>
      <xdr:row>14</xdr:row>
      <xdr:rowOff>180561</xdr:rowOff>
    </xdr:to>
    <xdr:sp macro="" textlink="">
      <xdr:nvSpPr>
        <xdr:cNvPr id="7" name="Rectangle: Rounded Corners 6">
          <a:extLst>
            <a:ext uri="{FF2B5EF4-FFF2-40B4-BE49-F238E27FC236}">
              <a16:creationId xmlns:a16="http://schemas.microsoft.com/office/drawing/2014/main" id="{6F027989-69AF-4712-845E-BCBE959935D1}"/>
            </a:ext>
          </a:extLst>
        </xdr:cNvPr>
        <xdr:cNvSpPr/>
      </xdr:nvSpPr>
      <xdr:spPr>
        <a:xfrm>
          <a:off x="8215242" y="2334038"/>
          <a:ext cx="1668671" cy="400327"/>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chemeClr val="tx1"/>
              </a:solidFill>
            </a:rPr>
            <a:t>Cognitive</a:t>
          </a:r>
          <a:r>
            <a:rPr lang="en-US" sz="1200" baseline="0">
              <a:solidFill>
                <a:schemeClr val="tx1"/>
              </a:solidFill>
            </a:rPr>
            <a:t> (if necessary)</a:t>
          </a:r>
          <a:endParaRPr lang="en-US" sz="1200">
            <a:solidFill>
              <a:schemeClr val="tx1"/>
            </a:solidFill>
          </a:endParaRPr>
        </a:p>
      </xdr:txBody>
    </xdr:sp>
    <xdr:clientData/>
  </xdr:twoCellAnchor>
  <xdr:twoCellAnchor>
    <xdr:from>
      <xdr:col>2</xdr:col>
      <xdr:colOff>165652</xdr:colOff>
      <xdr:row>17</xdr:row>
      <xdr:rowOff>42516</xdr:rowOff>
    </xdr:from>
    <xdr:to>
      <xdr:col>4</xdr:col>
      <xdr:colOff>619541</xdr:colOff>
      <xdr:row>19</xdr:row>
      <xdr:rowOff>56321</xdr:rowOff>
    </xdr:to>
    <xdr:sp macro="" textlink="">
      <xdr:nvSpPr>
        <xdr:cNvPr id="8" name="Rectangle: Rounded Corners 7">
          <a:extLst>
            <a:ext uri="{FF2B5EF4-FFF2-40B4-BE49-F238E27FC236}">
              <a16:creationId xmlns:a16="http://schemas.microsoft.com/office/drawing/2014/main" id="{76D3FF13-0DBE-4915-9EEA-CF59334B0B7D}"/>
            </a:ext>
          </a:extLst>
        </xdr:cNvPr>
        <xdr:cNvSpPr/>
      </xdr:nvSpPr>
      <xdr:spPr>
        <a:xfrm>
          <a:off x="745435" y="3217516"/>
          <a:ext cx="1668671" cy="400327"/>
        </a:xfrm>
        <a:prstGeom prst="round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chemeClr val="tx1"/>
              </a:solidFill>
            </a:rPr>
            <a:t>Descriptive</a:t>
          </a:r>
          <a:r>
            <a:rPr lang="en-US" sz="1200" baseline="0">
              <a:solidFill>
                <a:schemeClr val="tx1"/>
              </a:solidFill>
            </a:rPr>
            <a:t> Analysis</a:t>
          </a:r>
          <a:endParaRPr lang="en-US" sz="1200">
            <a:solidFill>
              <a:schemeClr val="tx1"/>
            </a:solidFill>
          </a:endParaRPr>
        </a:p>
      </xdr:txBody>
    </xdr:sp>
    <xdr:clientData/>
  </xdr:twoCellAnchor>
  <xdr:twoCellAnchor>
    <xdr:from>
      <xdr:col>4</xdr:col>
      <xdr:colOff>1436204</xdr:colOff>
      <xdr:row>17</xdr:row>
      <xdr:rowOff>42516</xdr:rowOff>
    </xdr:from>
    <xdr:to>
      <xdr:col>5</xdr:col>
      <xdr:colOff>40310</xdr:colOff>
      <xdr:row>19</xdr:row>
      <xdr:rowOff>56321</xdr:rowOff>
    </xdr:to>
    <xdr:sp macro="" textlink="">
      <xdr:nvSpPr>
        <xdr:cNvPr id="9" name="Rectangle: Rounded Corners 8">
          <a:extLst>
            <a:ext uri="{FF2B5EF4-FFF2-40B4-BE49-F238E27FC236}">
              <a16:creationId xmlns:a16="http://schemas.microsoft.com/office/drawing/2014/main" id="{23543ACA-5CC6-4497-AAFD-BA5A87ACA575}"/>
            </a:ext>
          </a:extLst>
        </xdr:cNvPr>
        <xdr:cNvSpPr/>
      </xdr:nvSpPr>
      <xdr:spPr>
        <a:xfrm>
          <a:off x="3230769" y="3217516"/>
          <a:ext cx="1668671" cy="400327"/>
        </a:xfrm>
        <a:prstGeom prst="round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chemeClr val="tx1"/>
              </a:solidFill>
            </a:rPr>
            <a:t>Predictive analysis</a:t>
          </a:r>
        </a:p>
      </xdr:txBody>
    </xdr:sp>
    <xdr:clientData/>
  </xdr:twoCellAnchor>
  <xdr:twoCellAnchor>
    <xdr:from>
      <xdr:col>5</xdr:col>
      <xdr:colOff>856973</xdr:colOff>
      <xdr:row>17</xdr:row>
      <xdr:rowOff>42516</xdr:rowOff>
    </xdr:from>
    <xdr:to>
      <xdr:col>6</xdr:col>
      <xdr:colOff>1328945</xdr:colOff>
      <xdr:row>19</xdr:row>
      <xdr:rowOff>56321</xdr:rowOff>
    </xdr:to>
    <xdr:sp macro="" textlink="">
      <xdr:nvSpPr>
        <xdr:cNvPr id="10" name="Rectangle: Rounded Corners 9">
          <a:extLst>
            <a:ext uri="{FF2B5EF4-FFF2-40B4-BE49-F238E27FC236}">
              <a16:creationId xmlns:a16="http://schemas.microsoft.com/office/drawing/2014/main" id="{4AD74E2D-46AD-409F-A052-39F236510171}"/>
            </a:ext>
          </a:extLst>
        </xdr:cNvPr>
        <xdr:cNvSpPr/>
      </xdr:nvSpPr>
      <xdr:spPr>
        <a:xfrm>
          <a:off x="5716103" y="3217516"/>
          <a:ext cx="1659146" cy="400327"/>
        </a:xfrm>
        <a:prstGeom prst="round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chemeClr val="tx1"/>
              </a:solidFill>
            </a:rPr>
            <a:t>Prescriptive analysis</a:t>
          </a:r>
        </a:p>
        <a:p>
          <a:pPr algn="ctr"/>
          <a:endParaRPr lang="en-US" sz="1200">
            <a:solidFill>
              <a:schemeClr val="tx1"/>
            </a:solidFill>
          </a:endParaRPr>
        </a:p>
      </xdr:txBody>
    </xdr:sp>
    <xdr:clientData/>
  </xdr:twoCellAnchor>
  <xdr:twoCellAnchor>
    <xdr:from>
      <xdr:col>7</xdr:col>
      <xdr:colOff>816112</xdr:colOff>
      <xdr:row>17</xdr:row>
      <xdr:rowOff>42516</xdr:rowOff>
    </xdr:from>
    <xdr:to>
      <xdr:col>8</xdr:col>
      <xdr:colOff>911087</xdr:colOff>
      <xdr:row>19</xdr:row>
      <xdr:rowOff>56321</xdr:rowOff>
    </xdr:to>
    <xdr:sp macro="" textlink="">
      <xdr:nvSpPr>
        <xdr:cNvPr id="11" name="Rectangle: Rounded Corners 10">
          <a:extLst>
            <a:ext uri="{FF2B5EF4-FFF2-40B4-BE49-F238E27FC236}">
              <a16:creationId xmlns:a16="http://schemas.microsoft.com/office/drawing/2014/main" id="{EBCAC826-49EB-4F08-8298-AC1B2E4DAB52}"/>
            </a:ext>
          </a:extLst>
        </xdr:cNvPr>
        <xdr:cNvSpPr/>
      </xdr:nvSpPr>
      <xdr:spPr>
        <a:xfrm>
          <a:off x="8201438" y="3217516"/>
          <a:ext cx="1668671" cy="400327"/>
        </a:xfrm>
        <a:prstGeom prst="round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chemeClr val="tx1"/>
              </a:solidFill>
            </a:rPr>
            <a:t>Cognitive</a:t>
          </a:r>
          <a:r>
            <a:rPr lang="en-US" sz="1200" baseline="0">
              <a:solidFill>
                <a:schemeClr val="tx1"/>
              </a:solidFill>
            </a:rPr>
            <a:t> (if necessary)</a:t>
          </a:r>
          <a:endParaRPr lang="en-US" sz="1200">
            <a:solidFill>
              <a:schemeClr val="tx1"/>
            </a:solidFill>
          </a:endParaRPr>
        </a:p>
      </xdr:txBody>
    </xdr:sp>
    <xdr:clientData/>
  </xdr:twoCellAnchor>
  <xdr:twoCellAnchor>
    <xdr:from>
      <xdr:col>4</xdr:col>
      <xdr:colOff>1242392</xdr:colOff>
      <xdr:row>12</xdr:row>
      <xdr:rowOff>179457</xdr:rowOff>
    </xdr:from>
    <xdr:to>
      <xdr:col>4</xdr:col>
      <xdr:colOff>1601305</xdr:colOff>
      <xdr:row>14</xdr:row>
      <xdr:rowOff>151849</xdr:rowOff>
    </xdr:to>
    <xdr:sp macro="" textlink="">
      <xdr:nvSpPr>
        <xdr:cNvPr id="12" name="Oval 11">
          <a:extLst>
            <a:ext uri="{FF2B5EF4-FFF2-40B4-BE49-F238E27FC236}">
              <a16:creationId xmlns:a16="http://schemas.microsoft.com/office/drawing/2014/main" id="{B515C6CB-5DBC-4704-B095-EDE2E7DFBFC5}"/>
            </a:ext>
          </a:extLst>
        </xdr:cNvPr>
        <xdr:cNvSpPr/>
      </xdr:nvSpPr>
      <xdr:spPr>
        <a:xfrm>
          <a:off x="3036957" y="2388153"/>
          <a:ext cx="358913" cy="35891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a:t>2</a:t>
          </a:r>
        </a:p>
      </xdr:txBody>
    </xdr:sp>
    <xdr:clientData/>
  </xdr:twoCellAnchor>
  <xdr:twoCellAnchor>
    <xdr:from>
      <xdr:col>1</xdr:col>
      <xdr:colOff>232358</xdr:colOff>
      <xdr:row>12</xdr:row>
      <xdr:rowOff>164771</xdr:rowOff>
    </xdr:from>
    <xdr:to>
      <xdr:col>2</xdr:col>
      <xdr:colOff>301379</xdr:colOff>
      <xdr:row>14</xdr:row>
      <xdr:rowOff>137163</xdr:rowOff>
    </xdr:to>
    <xdr:sp macro="" textlink="">
      <xdr:nvSpPr>
        <xdr:cNvPr id="13" name="Oval 12">
          <a:extLst>
            <a:ext uri="{FF2B5EF4-FFF2-40B4-BE49-F238E27FC236}">
              <a16:creationId xmlns:a16="http://schemas.microsoft.com/office/drawing/2014/main" id="{4BF77272-D81C-4C16-AE04-59C2E2FE06EB}"/>
            </a:ext>
          </a:extLst>
        </xdr:cNvPr>
        <xdr:cNvSpPr/>
      </xdr:nvSpPr>
      <xdr:spPr>
        <a:xfrm>
          <a:off x="529241" y="2416135"/>
          <a:ext cx="365904" cy="36823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a:t>1</a:t>
          </a:r>
        </a:p>
      </xdr:txBody>
    </xdr:sp>
    <xdr:clientData/>
  </xdr:twoCellAnchor>
  <xdr:twoCellAnchor>
    <xdr:from>
      <xdr:col>5</xdr:col>
      <xdr:colOff>680386</xdr:colOff>
      <xdr:row>12</xdr:row>
      <xdr:rowOff>180562</xdr:rowOff>
    </xdr:from>
    <xdr:to>
      <xdr:col>5</xdr:col>
      <xdr:colOff>1039299</xdr:colOff>
      <xdr:row>14</xdr:row>
      <xdr:rowOff>152954</xdr:rowOff>
    </xdr:to>
    <xdr:sp macro="" textlink="">
      <xdr:nvSpPr>
        <xdr:cNvPr id="14" name="Oval 13">
          <a:extLst>
            <a:ext uri="{FF2B5EF4-FFF2-40B4-BE49-F238E27FC236}">
              <a16:creationId xmlns:a16="http://schemas.microsoft.com/office/drawing/2014/main" id="{CD3AF4E5-B14D-411A-B889-A74ED816906A}"/>
            </a:ext>
          </a:extLst>
        </xdr:cNvPr>
        <xdr:cNvSpPr/>
      </xdr:nvSpPr>
      <xdr:spPr>
        <a:xfrm>
          <a:off x="5554217" y="2431926"/>
          <a:ext cx="358913" cy="36823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a:t>3</a:t>
          </a:r>
        </a:p>
      </xdr:txBody>
    </xdr:sp>
    <xdr:clientData/>
  </xdr:twoCellAnchor>
  <xdr:twoCellAnchor>
    <xdr:from>
      <xdr:col>7</xdr:col>
      <xdr:colOff>567634</xdr:colOff>
      <xdr:row>12</xdr:row>
      <xdr:rowOff>181114</xdr:rowOff>
    </xdr:from>
    <xdr:to>
      <xdr:col>7</xdr:col>
      <xdr:colOff>926547</xdr:colOff>
      <xdr:row>14</xdr:row>
      <xdr:rowOff>153506</xdr:rowOff>
    </xdr:to>
    <xdr:sp macro="" textlink="">
      <xdr:nvSpPr>
        <xdr:cNvPr id="15" name="Oval 14">
          <a:extLst>
            <a:ext uri="{FF2B5EF4-FFF2-40B4-BE49-F238E27FC236}">
              <a16:creationId xmlns:a16="http://schemas.microsoft.com/office/drawing/2014/main" id="{7C3E0CD2-961A-4F75-B747-E94F57773D92}"/>
            </a:ext>
          </a:extLst>
        </xdr:cNvPr>
        <xdr:cNvSpPr/>
      </xdr:nvSpPr>
      <xdr:spPr>
        <a:xfrm>
          <a:off x="7952960" y="2389810"/>
          <a:ext cx="358913" cy="35891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a:t>4</a:t>
          </a:r>
        </a:p>
      </xdr:txBody>
    </xdr:sp>
    <xdr:clientData/>
  </xdr:twoCellAnchor>
  <xdr:twoCellAnchor>
    <xdr:from>
      <xdr:col>5</xdr:col>
      <xdr:colOff>666582</xdr:colOff>
      <xdr:row>17</xdr:row>
      <xdr:rowOff>56322</xdr:rowOff>
    </xdr:from>
    <xdr:to>
      <xdr:col>5</xdr:col>
      <xdr:colOff>1025495</xdr:colOff>
      <xdr:row>19</xdr:row>
      <xdr:rowOff>28713</xdr:rowOff>
    </xdr:to>
    <xdr:sp macro="" textlink="">
      <xdr:nvSpPr>
        <xdr:cNvPr id="16" name="Oval 15">
          <a:extLst>
            <a:ext uri="{FF2B5EF4-FFF2-40B4-BE49-F238E27FC236}">
              <a16:creationId xmlns:a16="http://schemas.microsoft.com/office/drawing/2014/main" id="{21B63E3E-9A29-4DC0-A468-A745336B6975}"/>
            </a:ext>
          </a:extLst>
        </xdr:cNvPr>
        <xdr:cNvSpPr/>
      </xdr:nvSpPr>
      <xdr:spPr>
        <a:xfrm>
          <a:off x="5540413" y="3334406"/>
          <a:ext cx="358913" cy="36823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a:t>1</a:t>
          </a:r>
        </a:p>
      </xdr:txBody>
    </xdr:sp>
    <xdr:clientData/>
  </xdr:twoCellAnchor>
  <xdr:twoCellAnchor>
    <xdr:from>
      <xdr:col>1</xdr:col>
      <xdr:colOff>249059</xdr:colOff>
      <xdr:row>17</xdr:row>
      <xdr:rowOff>58309</xdr:rowOff>
    </xdr:from>
    <xdr:to>
      <xdr:col>2</xdr:col>
      <xdr:colOff>315213</xdr:colOff>
      <xdr:row>19</xdr:row>
      <xdr:rowOff>30700</xdr:rowOff>
    </xdr:to>
    <xdr:sp macro="" textlink="">
      <xdr:nvSpPr>
        <xdr:cNvPr id="17" name="Oval 16">
          <a:extLst>
            <a:ext uri="{FF2B5EF4-FFF2-40B4-BE49-F238E27FC236}">
              <a16:creationId xmlns:a16="http://schemas.microsoft.com/office/drawing/2014/main" id="{B6C98782-C72D-4C79-AB94-B934A1534538}"/>
            </a:ext>
          </a:extLst>
        </xdr:cNvPr>
        <xdr:cNvSpPr/>
      </xdr:nvSpPr>
      <xdr:spPr>
        <a:xfrm>
          <a:off x="545942" y="3336393"/>
          <a:ext cx="363037" cy="36823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a:t>2</a:t>
          </a:r>
        </a:p>
      </xdr:txBody>
    </xdr:sp>
    <xdr:clientData/>
  </xdr:twoCellAnchor>
  <xdr:twoCellAnchor>
    <xdr:from>
      <xdr:col>4</xdr:col>
      <xdr:colOff>1232230</xdr:colOff>
      <xdr:row>17</xdr:row>
      <xdr:rowOff>58862</xdr:rowOff>
    </xdr:from>
    <xdr:to>
      <xdr:col>4</xdr:col>
      <xdr:colOff>1591143</xdr:colOff>
      <xdr:row>19</xdr:row>
      <xdr:rowOff>31253</xdr:rowOff>
    </xdr:to>
    <xdr:sp macro="" textlink="">
      <xdr:nvSpPr>
        <xdr:cNvPr id="18" name="Oval 17">
          <a:extLst>
            <a:ext uri="{FF2B5EF4-FFF2-40B4-BE49-F238E27FC236}">
              <a16:creationId xmlns:a16="http://schemas.microsoft.com/office/drawing/2014/main" id="{7B5CE706-0700-48FB-A996-235169610D80}"/>
            </a:ext>
          </a:extLst>
        </xdr:cNvPr>
        <xdr:cNvSpPr/>
      </xdr:nvSpPr>
      <xdr:spPr>
        <a:xfrm>
          <a:off x="3038269" y="3336946"/>
          <a:ext cx="358913" cy="36823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a:t>3</a:t>
          </a:r>
        </a:p>
      </xdr:txBody>
    </xdr:sp>
    <xdr:clientData/>
  </xdr:twoCellAnchor>
  <xdr:twoCellAnchor>
    <xdr:from>
      <xdr:col>7</xdr:col>
      <xdr:colOff>552396</xdr:colOff>
      <xdr:row>17</xdr:row>
      <xdr:rowOff>70679</xdr:rowOff>
    </xdr:from>
    <xdr:to>
      <xdr:col>7</xdr:col>
      <xdr:colOff>911309</xdr:colOff>
      <xdr:row>19</xdr:row>
      <xdr:rowOff>43070</xdr:rowOff>
    </xdr:to>
    <xdr:sp macro="" textlink="">
      <xdr:nvSpPr>
        <xdr:cNvPr id="19" name="Oval 18">
          <a:extLst>
            <a:ext uri="{FF2B5EF4-FFF2-40B4-BE49-F238E27FC236}">
              <a16:creationId xmlns:a16="http://schemas.microsoft.com/office/drawing/2014/main" id="{1751A217-B1CF-46A7-9658-9D92D2EAA1C6}"/>
            </a:ext>
          </a:extLst>
        </xdr:cNvPr>
        <xdr:cNvSpPr/>
      </xdr:nvSpPr>
      <xdr:spPr>
        <a:xfrm>
          <a:off x="7937364" y="3348763"/>
          <a:ext cx="358913" cy="36823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a:t>4</a:t>
          </a:r>
        </a:p>
      </xdr:txBody>
    </xdr:sp>
    <xdr:clientData/>
  </xdr:twoCellAnchor>
  <xdr:twoCellAnchor>
    <xdr:from>
      <xdr:col>3</xdr:col>
      <xdr:colOff>683459</xdr:colOff>
      <xdr:row>19</xdr:row>
      <xdr:rowOff>49972</xdr:rowOff>
    </xdr:from>
    <xdr:to>
      <xdr:col>6</xdr:col>
      <xdr:colOff>511728</xdr:colOff>
      <xdr:row>19</xdr:row>
      <xdr:rowOff>62672</xdr:rowOff>
    </xdr:to>
    <xdr:cxnSp macro="">
      <xdr:nvCxnSpPr>
        <xdr:cNvPr id="22" name="Connector: Elbow 21">
          <a:extLst>
            <a:ext uri="{FF2B5EF4-FFF2-40B4-BE49-F238E27FC236}">
              <a16:creationId xmlns:a16="http://schemas.microsoft.com/office/drawing/2014/main" id="{FC339782-C32C-4F71-8B1C-6AF90C5084C0}"/>
            </a:ext>
          </a:extLst>
        </xdr:cNvPr>
        <xdr:cNvCxnSpPr>
          <a:stCxn id="10" idx="2"/>
          <a:endCxn id="8" idx="2"/>
        </xdr:cNvCxnSpPr>
      </xdr:nvCxnSpPr>
      <xdr:spPr>
        <a:xfrm rot="5400000">
          <a:off x="4073436" y="1249314"/>
          <a:ext cx="12700" cy="4961873"/>
        </a:xfrm>
        <a:prstGeom prst="bentConnector3">
          <a:avLst>
            <a:gd name="adj1" fmla="val 180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389467</xdr:colOff>
      <xdr:row>30</xdr:row>
      <xdr:rowOff>152399</xdr:rowOff>
    </xdr:from>
    <xdr:to>
      <xdr:col>10</xdr:col>
      <xdr:colOff>677331</xdr:colOff>
      <xdr:row>44</xdr:row>
      <xdr:rowOff>12699</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C770E759-4E70-48ED-B83C-8D527F7D26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0438342" y="6248399"/>
              <a:ext cx="4250264" cy="26606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31750</xdr:colOff>
      <xdr:row>14</xdr:row>
      <xdr:rowOff>114300</xdr:rowOff>
    </xdr:from>
    <xdr:to>
      <xdr:col>0</xdr:col>
      <xdr:colOff>1860550</xdr:colOff>
      <xdr:row>20</xdr:row>
      <xdr:rowOff>50800</xdr:rowOff>
    </xdr:to>
    <mc:AlternateContent xmlns:mc="http://schemas.openxmlformats.org/markup-compatibility/2006" xmlns:a14="http://schemas.microsoft.com/office/drawing/2010/main">
      <mc:Choice Requires="a14">
        <xdr:graphicFrame macro="">
          <xdr:nvGraphicFramePr>
            <xdr:cNvPr id="2" name="DEA&gt;=100M">
              <a:extLst>
                <a:ext uri="{FF2B5EF4-FFF2-40B4-BE49-F238E27FC236}">
                  <a16:creationId xmlns:a16="http://schemas.microsoft.com/office/drawing/2014/main" id="{960FD01C-DE05-4691-94BD-14BC30A1627A}"/>
                </a:ext>
              </a:extLst>
            </xdr:cNvPr>
            <xdr:cNvGraphicFramePr/>
          </xdr:nvGraphicFramePr>
          <xdr:xfrm>
            <a:off x="0" y="0"/>
            <a:ext cx="0" cy="0"/>
          </xdr:xfrm>
          <a:graphic>
            <a:graphicData uri="http://schemas.microsoft.com/office/drawing/2010/slicer">
              <sle:slicer xmlns:sle="http://schemas.microsoft.com/office/drawing/2010/slicer" name="DEA&gt;=100M"/>
            </a:graphicData>
          </a:graphic>
        </xdr:graphicFrame>
      </mc:Choice>
      <mc:Fallback xmlns="">
        <xdr:sp macro="" textlink="">
          <xdr:nvSpPr>
            <xdr:cNvPr id="0" name=""/>
            <xdr:cNvSpPr>
              <a:spLocks noTextEdit="1"/>
            </xdr:cNvSpPr>
          </xdr:nvSpPr>
          <xdr:spPr>
            <a:xfrm>
              <a:off x="31750" y="2343150"/>
              <a:ext cx="1828800" cy="88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1898650</xdr:colOff>
      <xdr:row>14</xdr:row>
      <xdr:rowOff>107950</xdr:rowOff>
    </xdr:from>
    <xdr:to>
      <xdr:col>1</xdr:col>
      <xdr:colOff>285750</xdr:colOff>
      <xdr:row>29</xdr:row>
      <xdr:rowOff>60322</xdr:rowOff>
    </xdr:to>
    <mc:AlternateContent xmlns:mc="http://schemas.openxmlformats.org/markup-compatibility/2006" xmlns:a14="http://schemas.microsoft.com/office/drawing/2010/main">
      <mc:Choice Requires="a14">
        <xdr:graphicFrame macro="">
          <xdr:nvGraphicFramePr>
            <xdr:cNvPr id="3" name="Airport">
              <a:extLst>
                <a:ext uri="{FF2B5EF4-FFF2-40B4-BE49-F238E27FC236}">
                  <a16:creationId xmlns:a16="http://schemas.microsoft.com/office/drawing/2014/main" id="{92A0F39F-E443-436B-A8B9-22393E23ABF3}"/>
                </a:ext>
              </a:extLst>
            </xdr:cNvPr>
            <xdr:cNvGraphicFramePr/>
          </xdr:nvGraphicFramePr>
          <xdr:xfrm>
            <a:off x="0" y="0"/>
            <a:ext cx="0" cy="0"/>
          </xdr:xfrm>
          <a:graphic>
            <a:graphicData uri="http://schemas.microsoft.com/office/drawing/2010/slicer">
              <sle:slicer xmlns:sle="http://schemas.microsoft.com/office/drawing/2010/slicer" name="Airport"/>
            </a:graphicData>
          </a:graphic>
        </xdr:graphicFrame>
      </mc:Choice>
      <mc:Fallback xmlns="">
        <xdr:sp macro="" textlink="">
          <xdr:nvSpPr>
            <xdr:cNvPr id="0" name=""/>
            <xdr:cNvSpPr>
              <a:spLocks noTextEdit="1"/>
            </xdr:cNvSpPr>
          </xdr:nvSpPr>
          <xdr:spPr>
            <a:xfrm>
              <a:off x="1898650" y="2336800"/>
              <a:ext cx="1828800" cy="23336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rgan Heinly" refreshedDate="44154.575353703702" createdVersion="6" refreshedVersion="6" minRefreshableVersion="3" recordCount="89" xr:uid="{38E1D76F-8973-4A90-B60C-A6971B313A3D}">
  <cacheSource type="worksheet">
    <worksheetSource name="Table1"/>
  </cacheSource>
  <cacheFields count="17">
    <cacheField name="Airport" numFmtId="0">
      <sharedItems count="89">
        <s v="ALBANY COUNTY"/>
        <s v="ALBUQUERQUE INTL"/>
        <s v="ANCHORAGE INTL"/>
        <s v="AUSTIN-BERGSTROM INTL"/>
        <s v="BALTIMORE-WASHINGTON INTL"/>
        <s v="BANGOR INTL"/>
        <s v="BIRMINGHAM INTL"/>
        <s v="BOISE AIR TERMINAL/GOWEN FIELD"/>
        <s v="BRADLEY INTL"/>
        <s v="BURBANK-GLENDALE-PASADENA"/>
        <s v="CHARLESTON INTL"/>
        <s v="CHARLOTTE/DOUGLAS INTL"/>
        <s v="CHICAGO MIDWAY INTERNATIONAL"/>
        <s v="CHICAGO OHARE INTL"/>
        <s v="CINCINNATI/NORTHERN KENTUCKY"/>
        <s v="CLEVELAND-HOPKINS INTL"/>
        <s v="DALLAS LOVE FIELD"/>
        <s v="DALLAS/FORT WORTH INTL"/>
        <s v="DAYTON INTL"/>
        <s v="DENVER INTL"/>
        <s v="DETROIT METRO  WAYNE"/>
        <s v="EL PASO INTL"/>
        <s v="EPPLEY AIRFIELD"/>
        <s v="FORT LAUDERDALE/ HOLLYWOOD INTL"/>
        <s v="GENERAL EDWARD LAWRENCE LOGAN"/>
        <s v="GENERAL MITCHELL INTL"/>
        <s v="GEORGE BUSH  INTERCONTINENTAL"/>
        <s v="GERALD R FORD INTERNATIONAL"/>
        <s v="GREATER BUFFALO INTL"/>
        <s v="Hartsfield-Jackson Atlanta International"/>
        <s v="HONOLULU INTL"/>
        <s v="HUNTSVILLE INTL-CARL T JONE"/>
        <s v="INDIANAPOLIS INTL"/>
        <s v="JACKSON INTERNATIONAL"/>
        <s v="JACKSONVILLE INTL"/>
        <s v="JOHN F KENNEDY INTL"/>
        <s v="JOHN WAYNE AIRPORT-ORANGE C"/>
        <s v="KAHULUI"/>
        <s v="KANSAS CITY INTL"/>
        <s v="LAGUARDIA"/>
        <s v="LAMBERT-ST LOUIS INTL"/>
        <s v="LEHIGH VALLEY INTL"/>
        <s v="LITTLE ROCK NATIONAL - ADAMS FIELD"/>
        <s v="LONG BEACH /DAUGHERTY FIELD"/>
        <s v="LOS ANGELES INTL"/>
        <s v="LOUISVILLE INTL"/>
        <s v="MC CARRAN INTL"/>
        <s v="MC GHEE TYSON"/>
        <s v="MEMPHIS INTL"/>
        <s v="MIAMI INTL"/>
        <s v="MINNEAPOLIS-ST PAUL INTL"/>
        <s v="MOBILE REGIONAL"/>
        <s v="MYRTLE BEACH INTL"/>
        <s v="NASHVILLE INTL"/>
        <s v="NEW ORLEANS INTL"/>
        <s v="NEWARK INTL"/>
        <s v="NORFOLK INTERNATIONAL"/>
        <s v="OAKLAND INTERNATIONAL AIRPORT"/>
        <s v="ONTARIO INTL"/>
        <s v="ORLANDO INTL"/>
        <s v="PHILADELPHIA INTL"/>
        <s v="PHOENIX SKY HARBOR INTL"/>
        <s v="PIEDMONT TRIAD INTL"/>
        <s v="PITTSBURGH INTERNATIONAL"/>
        <s v="PORT COLUMBUS INTL"/>
        <s v="PORTLAND INTL"/>
        <s v="RALEIGH-DURHAM INTL"/>
        <s v="RENO/TAHOE INTL"/>
        <s v="RICHMOND INTL"/>
        <s v="RONALD REAGAN WASHINGTON NATIONAL"/>
        <s v="SACRAMENTO METRO"/>
        <s v="SALT LAKE CITY INTL"/>
        <s v="SAN ANTONIO INTL"/>
        <s v="SAN DIEGO INTL"/>
        <s v="SAN FRANCISCO INTL"/>
        <s v="SAN JOSE INTERNATION"/>
        <s v="SARASOTA/BRADENTON INTL"/>
        <s v="SAVANNAH INTERNATIONAL"/>
        <s v="SEATTLE-TACOMA INTL"/>
        <s v="SOUTHWEST FLORIDA INTL"/>
        <s v="SPOKANE INTL"/>
        <s v="TAMPA INTL"/>
        <s v="THEODORE FRANCIS GREEN"/>
        <s v="TUCSON INTL"/>
        <s v="TULSA INTL"/>
        <s v="WASHINGTON DULLES INTERNATI"/>
        <s v="WICHITA MID-CONTINENT"/>
        <s v="WILL ROGERS WORLD"/>
        <s v="WILLIAM P HOBBY"/>
      </sharedItems>
    </cacheField>
    <cacheField name="Airport Code" numFmtId="0">
      <sharedItems/>
    </cacheField>
    <cacheField name="Employees - 2015" numFmtId="165">
      <sharedItems containsSemiMixedTypes="0" containsString="0" containsNumber="1" containsInteger="1" minValue="100" maxValue="3167"/>
    </cacheField>
    <cacheField name="TOTAL OPERATING EXPENSES - 2015" numFmtId="166">
      <sharedItems containsSemiMixedTypes="0" containsString="0" containsNumber="1" containsInteger="1" minValue="10749927" maxValue="805709978"/>
    </cacheField>
    <cacheField name="Total enplanements - 2015" numFmtId="165">
      <sharedItems containsSemiMixedTypes="0" containsString="0" containsNumber="1" containsInteger="1" minValue="234830" maxValue="49056316"/>
    </cacheField>
    <cacheField name="Annual aircraft operations - 2015" numFmtId="37">
      <sharedItems containsSemiMixedTypes="0" containsString="0" containsNumber="1" containsInteger="1" minValue="14769" maxValue="875136"/>
    </cacheField>
    <cacheField name="Total Non Aero Revenue" numFmtId="166">
      <sharedItems containsSemiMixedTypes="0" containsString="0" containsNumber="1" containsInteger="1" minValue="4419289" maxValue="446924136"/>
    </cacheField>
    <cacheField name="Total Aero revenue - 2015" numFmtId="166">
      <sharedItems containsSemiMixedTypes="0" containsString="0" containsNumber="1" containsInteger="1" minValue="5518111" maxValue="889061242"/>
    </cacheField>
    <cacheField name="DEA&gt;=100M" numFmtId="166">
      <sharedItems count="2">
        <s v="no"/>
        <s v="Yes"/>
      </sharedItems>
    </cacheField>
    <cacheField name="CALC - Total enplanements - Emp" numFmtId="166">
      <sharedItems containsSemiMixedTypes="0" containsString="0" containsNumber="1" minValue="2116.2249999999999" maxValue="66309.24590163934"/>
    </cacheField>
    <cacheField name="CALC -Annual aircraft operations - 20153 - Emp" numFmtId="166">
      <sharedItems containsSemiMixedTypes="0" containsString="0" containsNumber="1" minValue="131.86607142857142" maxValue="2501.5333333333333"/>
    </cacheField>
    <cacheField name="CALC -Total Non Aero Revenue - Emp" numFmtId="166">
      <sharedItems containsSemiMixedTypes="0" containsString="0" containsNumber="1" minValue="42905.718446601939" maxValue="736307.37470725994"/>
    </cacheField>
    <cacheField name="CALC-Total Aero revenue - Emp" numFmtId="166">
      <sharedItems containsSemiMixedTypes="0" containsString="0" containsNumber="1" minValue="48958.209183673469" maxValue="2082110.6370023419" count="89">
        <n v="79733.809523809527"/>
        <n v="87515.466192170818"/>
        <n v="293715.43626062322"/>
        <n v="147897.78309859155"/>
        <n v="238775.37818181817"/>
        <n v="73950.737864077673"/>
        <n v="166487.8432835821"/>
        <n v="88893.617647058825"/>
        <n v="309487.73504273506"/>
        <n v="95678.708609271518"/>
        <n v="67615.944099378888"/>
        <n v="220352.24296675192"/>
        <n v="562461.15897435893"/>
        <n v="445914.9992313605"/>
        <n v="108870.26700251889"/>
        <n v="212190.9276485788"/>
        <n v="134739.41414141413"/>
        <n v="173432.44983277592"/>
        <n v="56577.372413793106"/>
        <n v="283012.32941176469"/>
        <n v="272226.00806451612"/>
        <n v="57828.340707964599"/>
        <n v="117038.46496815287"/>
        <n v="153926.72463768115"/>
        <n v="380538.58186738839"/>
        <n v="128882.6705882353"/>
        <n v="242905.69505783386"/>
        <n v="166009.49"/>
        <n v="158363.59064327486"/>
        <n v="140206.30883639544"/>
        <n v="222519.60112359549"/>
        <n v="110772.10810810811"/>
        <n v="122418.9196217494"/>
        <n v="62012.773584905663"/>
        <n v="89233.893536121672"/>
        <n v="2082110.6370023419"/>
        <n v="302312.00574712642"/>
        <n v="195251.67441860464"/>
        <n v="104720.33025404158"/>
        <n v="964399.20344827592"/>
        <n v="189331.46987951806"/>
        <n v="69286.84375"/>
        <n v="67602.641975308637"/>
        <n v="149643.70000000001"/>
        <n v="190013.12946005684"/>
        <n v="128892.91935483871"/>
        <n v="219583.31599081866"/>
        <n v="72328.355704697984"/>
        <n v="236273.64864864864"/>
        <n v="435412.51258389262"/>
        <n v="212390.73434856176"/>
        <n v="53573.893203883497"/>
        <n v="83398.387596899222"/>
        <n v="159680.66435986158"/>
        <n v="263544.68518518517"/>
        <n v="1703384.3838120105"/>
        <n v="73555.557213930355"/>
        <n v="420141.77927927929"/>
        <n v="161886.59259259258"/>
        <n v="258083.08814102566"/>
        <n v="223308.92631578946"/>
        <n v="166079.96735187425"/>
        <n v="103439.25"/>
        <n v="176767.50561797753"/>
        <n v="90624.012539184958"/>
        <n v="278688.4876712329"/>
        <n v="140030.38675958189"/>
        <n v="68551.370370370365"/>
        <n v="80183.69277108433"/>
        <n v="248593.81832543443"/>
        <n v="249511.34713375795"/>
        <n v="102573.07312252965"/>
        <n v="83039.273381294959"/>
        <n v="300217.13947368419"/>
        <n v="324542.33992932865"/>
        <n v="336227.79144385026"/>
        <n v="67022.03125"/>
        <n v="48958.209183673469"/>
        <n v="256581.3700340522"/>
        <n v="109090.8591954023"/>
        <n v="83379.962962962964"/>
        <n v="95798.381818181821"/>
        <n v="177433.19205298013"/>
        <n v="72051.274999999994"/>
        <n v="100300.51748251748"/>
        <n v="311197.36946902657"/>
        <n v="70846.809160305347"/>
        <n v="143962.92372881356"/>
        <n v="142539.35922330097"/>
      </sharedItems>
    </cacheField>
    <cacheField name="CALC -Total enplanements - Exp" numFmtId="164">
      <sharedItems containsSemiMixedTypes="0" containsString="0" containsNumber="1" minValue="1.9143295346735516E-2" maxValue="0.2107753016848278"/>
    </cacheField>
    <cacheField name="CALC -Annual aircraft operations - Exp" numFmtId="164">
      <sharedItems containsSemiMixedTypes="0" containsString="0" containsNumber="1" minValue="5.8422262279334653E-4" maxValue="1.2726970145936805E-2"/>
    </cacheField>
    <cacheField name="CALC-Total Non Aero Revenue - Exp" numFmtId="44">
      <sharedItems containsSemiMixedTypes="0" containsString="0" containsNumber="1" minValue="0.31226417603384382" maxValue="1.5417342392760016"/>
    </cacheField>
    <cacheField name="CALC-Total Aero revenue - Exp" numFmtId="44">
      <sharedItems containsSemiMixedTypes="0" containsString="0" containsNumber="1" minValue="0.27016980180633998" maxValue="1.6316576673466712"/>
    </cacheField>
  </cacheFields>
  <extLst>
    <ext xmlns:x14="http://schemas.microsoft.com/office/spreadsheetml/2009/9/main" uri="{725AE2AE-9491-48be-B2B4-4EB974FC3084}">
      <x14:pivotCacheDefinition pivotCacheId="1224766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
  <r>
    <x v="0"/>
    <s v="ALB"/>
    <n v="210"/>
    <n v="26874648"/>
    <n v="1297749"/>
    <n v="60001"/>
    <n v="22997841"/>
    <n v="16744100"/>
    <x v="0"/>
    <n v="6179.7571428571428"/>
    <n v="285.71904761904761"/>
    <n v="109513.52857142857"/>
    <x v="0"/>
    <n v="4.8288967356893378E-2"/>
    <n v="2.2326245910272015E-3"/>
    <n v="0.85574482687177889"/>
    <n v="0.62304443950298438"/>
  </r>
  <r>
    <x v="1"/>
    <s v="ABQ"/>
    <n v="281"/>
    <n v="30495206"/>
    <n v="2383062"/>
    <n v="126293"/>
    <n v="31464667"/>
    <n v="24591846"/>
    <x v="0"/>
    <n v="8480.6476868327409"/>
    <n v="449.44128113879003"/>
    <n v="111973.90391459074"/>
    <x v="1"/>
    <n v="7.8145463257405109E-2"/>
    <n v="4.1414050457635864E-3"/>
    <n v="1.031790603414845"/>
    <n v="0.80641678564165131"/>
  </r>
  <r>
    <x v="2"/>
    <s v="ANC"/>
    <n v="353"/>
    <n v="63543690"/>
    <n v="2668378"/>
    <n v="283494"/>
    <n v="19842418"/>
    <n v="103681549"/>
    <x v="0"/>
    <n v="7559.1444759206797"/>
    <n v="803.09915014164301"/>
    <n v="56210.815864022661"/>
    <x v="2"/>
    <n v="4.199280841260556E-2"/>
    <n v="4.4614028552638352E-3"/>
    <n v="0.31226417603384382"/>
    <n v="1.6316576673466712"/>
  </r>
  <r>
    <x v="3"/>
    <s v="AUS"/>
    <n v="355"/>
    <n v="80182019"/>
    <n v="5792387"/>
    <n v="190081"/>
    <n v="67464904"/>
    <n v="52503713"/>
    <x v="0"/>
    <n v="16316.583098591549"/>
    <n v="535.43943661971832"/>
    <n v="190041.98309859156"/>
    <x v="3"/>
    <n v="7.2240473266206973E-2"/>
    <n v="2.3706187792552342E-3"/>
    <n v="0.8413969221702936"/>
    <n v="0.65480657203206616"/>
  </r>
  <r>
    <x v="4"/>
    <s v="BWI"/>
    <n v="550"/>
    <n v="167556036"/>
    <n v="11412595"/>
    <n v="243255"/>
    <n v="84226589"/>
    <n v="131326458"/>
    <x v="1"/>
    <n v="20750.172727272726"/>
    <n v="442.28181818181821"/>
    <n v="153139.25272727272"/>
    <x v="4"/>
    <n v="6.8112109073766816E-2"/>
    <n v="1.451782972473758E-3"/>
    <n v="0.50267714020162191"/>
    <n v="0.78377634811078967"/>
  </r>
  <r>
    <x v="5"/>
    <s v="BGR"/>
    <n v="103"/>
    <n v="12266958"/>
    <n v="234830"/>
    <n v="40463"/>
    <n v="4419289"/>
    <n v="7616926"/>
    <x v="0"/>
    <n v="2279.9029126213591"/>
    <n v="392.84466019417476"/>
    <n v="42905.718446601939"/>
    <x v="5"/>
    <n v="1.9143295346735516E-2"/>
    <n v="3.2985357902097653E-3"/>
    <n v="0.36025956883524018"/>
    <n v="0.62093030725302878"/>
  </r>
  <r>
    <x v="6"/>
    <s v="BHM"/>
    <n v="134"/>
    <n v="27485962"/>
    <n v="1330235"/>
    <n v="37630"/>
    <n v="21744153"/>
    <n v="22309371"/>
    <x v="0"/>
    <n v="9927.126865671642"/>
    <n v="280.82089552238807"/>
    <n v="162269.79850746269"/>
    <x v="6"/>
    <n v="4.8396887109135929E-2"/>
    <n v="1.3690625054345925E-3"/>
    <n v="0.79110030785897179"/>
    <n v="0.81166418697661014"/>
  </r>
  <r>
    <x v="7"/>
    <s v="BOI"/>
    <n v="102"/>
    <n v="19130905"/>
    <n v="1456633"/>
    <n v="132047"/>
    <n v="19019274"/>
    <n v="9067149"/>
    <x v="0"/>
    <n v="14280.715686274511"/>
    <n v="1294.5784313725489"/>
    <n v="186463.4705882353"/>
    <x v="7"/>
    <n v="7.6140308051291877E-2"/>
    <n v="6.9022871631007525E-3"/>
    <n v="0.99416488660625313"/>
    <n v="0.47395295726992531"/>
  </r>
  <r>
    <x v="8"/>
    <s v="BDL"/>
    <n v="117"/>
    <n v="49166569"/>
    <n v="2968538"/>
    <n v="95055"/>
    <n v="28290314"/>
    <n v="36210065"/>
    <x v="0"/>
    <n v="25372.119658119656"/>
    <n v="812.43589743589746"/>
    <n v="241797.55555555556"/>
    <x v="8"/>
    <n v="6.0377164003451209E-2"/>
    <n v="1.9333258743354656E-3"/>
    <n v="0.57539735994187435"/>
    <n v="0.73647736127367358"/>
  </r>
  <r>
    <x v="9"/>
    <s v="BUR"/>
    <n v="151"/>
    <n v="38249302"/>
    <n v="1953558"/>
    <n v="121679"/>
    <n v="34667217"/>
    <n v="14447485"/>
    <x v="0"/>
    <n v="12937.470198675497"/>
    <n v="805.82119205298011"/>
    <n v="229584.21854304636"/>
    <x v="9"/>
    <n v="5.1074343788025202E-2"/>
    <n v="3.1812083786522433E-3"/>
    <n v="0.90634900997670498"/>
    <n v="0.37771891889687292"/>
  </r>
  <r>
    <x v="10"/>
    <s v="CHS"/>
    <n v="161"/>
    <n v="15030897"/>
    <n v="1630094"/>
    <n v="111563"/>
    <n v="19502482"/>
    <n v="10886167"/>
    <x v="0"/>
    <n v="10124.80745341615"/>
    <n v="692.93788819875772"/>
    <n v="121133.42857142857"/>
    <x v="10"/>
    <n v="0.10844954895240118"/>
    <n v="7.4222449930965526E-3"/>
    <n v="1.2974928908101759"/>
    <n v="0.72425265105602143"/>
  </r>
  <r>
    <x v="11"/>
    <s v="CLT"/>
    <n v="391"/>
    <n v="105277999"/>
    <n v="22190002"/>
    <n v="546456"/>
    <n v="107556265"/>
    <n v="86157727"/>
    <x v="1"/>
    <n v="56751.923273657289"/>
    <n v="1397.5856777493607"/>
    <n v="275079.96163682867"/>
    <x v="11"/>
    <n v="0.2107753016848278"/>
    <n v="5.1906001746860712E-3"/>
    <n v="1.0216404758984827"/>
    <n v="0.81838302226849891"/>
  </r>
  <r>
    <x v="12"/>
    <s v="MDW"/>
    <n v="195"/>
    <n v="183875850"/>
    <n v="11118223"/>
    <n v="253519"/>
    <n v="66439280"/>
    <n v="109679926"/>
    <x v="1"/>
    <n v="57016.528205128205"/>
    <n v="1300.0974358974358"/>
    <n v="340714.25641025644"/>
    <x v="12"/>
    <n v="6.0465923067112945E-2"/>
    <n v="1.3787509343940491E-3"/>
    <n v="0.36132684090923306"/>
    <n v="0.5964890223485031"/>
  </r>
  <r>
    <x v="13"/>
    <s v="ORD"/>
    <n v="1301"/>
    <n v="805709978"/>
    <n v="38395905"/>
    <n v="875136"/>
    <n v="265093272"/>
    <n v="580135414"/>
    <x v="1"/>
    <n v="29512.6095311299"/>
    <n v="672.66410453497315"/>
    <n v="203761.16218293621"/>
    <x v="13"/>
    <n v="4.7654746805183543E-2"/>
    <n v="1.0861675092721764E-3"/>
    <n v="0.32901823142123232"/>
    <n v="0.72003007265723595"/>
  </r>
  <r>
    <x v="14"/>
    <s v="CVG"/>
    <n v="397"/>
    <n v="79094906"/>
    <n v="3160248"/>
    <n v="133068"/>
    <n v="45121244"/>
    <n v="43221496"/>
    <x v="0"/>
    <n v="7960.3224181360201"/>
    <n v="335.18387909319898"/>
    <n v="113655.52644836273"/>
    <x v="14"/>
    <n v="3.9955139462457927E-2"/>
    <n v="1.6823839451809955E-3"/>
    <n v="0.57046965831149732"/>
    <n v="0.54645106980720104"/>
  </r>
  <r>
    <x v="15"/>
    <s v="CLE"/>
    <n v="387"/>
    <n v="74841144"/>
    <n v="3985993"/>
    <n v="117773"/>
    <n v="46390306"/>
    <n v="82117889"/>
    <x v="0"/>
    <n v="10299.723514211886"/>
    <n v="304.32299741602066"/>
    <n v="119871.59173126615"/>
    <x v="15"/>
    <n v="5.3259380962963364E-2"/>
    <n v="1.573639761572859E-3"/>
    <n v="0.61985030586918877"/>
    <n v="1.0972292059031059"/>
  </r>
  <r>
    <x v="16"/>
    <s v="DAL"/>
    <n v="198"/>
    <n v="52927998"/>
    <n v="6720091"/>
    <n v="209121"/>
    <n v="56709504"/>
    <n v="26678404"/>
    <x v="0"/>
    <n v="33939.853535353534"/>
    <n v="1056.1666666666667"/>
    <n v="286411.63636363635"/>
    <x v="16"/>
    <n v="0.12696665760907866"/>
    <n v="3.951046854256607E-3"/>
    <n v="1.0714462315389295"/>
    <n v="0.50405088059442571"/>
  </r>
  <r>
    <x v="17"/>
    <s v="DFW"/>
    <n v="1794"/>
    <n v="480681780"/>
    <n v="32455216"/>
    <n v="671788"/>
    <n v="367955881"/>
    <n v="311137815"/>
    <x v="1"/>
    <n v="18090.978818283165"/>
    <n v="374.463768115942"/>
    <n v="205103.61259754738"/>
    <x v="17"/>
    <n v="6.751913084785531E-2"/>
    <n v="1.3975732552209488E-3"/>
    <n v="0.76548747281413498"/>
    <n v="0.64728439467790932"/>
  </r>
  <r>
    <x v="18"/>
    <s v="DAY"/>
    <n v="145"/>
    <n v="30365048"/>
    <n v="1072620"/>
    <n v="50173"/>
    <n v="23171955"/>
    <n v="8203719"/>
    <x v="0"/>
    <n v="7397.3793103448279"/>
    <n v="346.02068965517242"/>
    <n v="159806.58620689655"/>
    <x v="18"/>
    <n v="3.5324166126791567E-2"/>
    <n v="1.6523273732351748E-3"/>
    <n v="0.76311274067473889"/>
    <n v="0.27016980180633998"/>
  </r>
  <r>
    <x v="19"/>
    <s v="DEN"/>
    <n v="1275"/>
    <n v="436802936"/>
    <n v="27018929"/>
    <n v="547648"/>
    <n v="326695033"/>
    <n v="360840720"/>
    <x v="1"/>
    <n v="21191.316862745098"/>
    <n v="429.52784313725488"/>
    <n v="256231.39843137254"/>
    <x v="19"/>
    <n v="6.1856106663165836E-2"/>
    <n v="1.2537644664549598E-3"/>
    <n v="0.74792316185347252"/>
    <n v="0.82609499676073606"/>
  </r>
  <r>
    <x v="20"/>
    <s v="DTW"/>
    <n v="620"/>
    <n v="211338834"/>
    <n v="16443778"/>
    <n v="380160"/>
    <n v="144488684"/>
    <n v="168780125"/>
    <x v="1"/>
    <n v="26522.222580645161"/>
    <n v="613.16129032258061"/>
    <n v="233046.26451612904"/>
    <x v="20"/>
    <n v="7.7807649870917719E-2"/>
    <n v="1.7988175329859159E-3"/>
    <n v="0.68368260231813338"/>
    <n v="0.79862333772504868"/>
  </r>
  <r>
    <x v="21"/>
    <s v="ELP"/>
    <n v="226"/>
    <n v="30052057"/>
    <n v="1369943"/>
    <n v="83990"/>
    <n v="24119424"/>
    <n v="13069205"/>
    <x v="0"/>
    <n v="6061.6946902654863"/>
    <n v="371.63716814159289"/>
    <n v="106723.11504424778"/>
    <x v="21"/>
    <n v="4.5585664901407578E-2"/>
    <n v="2.7948170070354918E-3"/>
    <n v="0.80258812233718313"/>
    <n v="0.43488553878358477"/>
  </r>
  <r>
    <x v="22"/>
    <s v="OMA"/>
    <n v="157"/>
    <n v="21136146"/>
    <n v="2083896"/>
    <n v="95544"/>
    <n v="23854022"/>
    <n v="18375039"/>
    <x v="0"/>
    <n v="13273.222929936306"/>
    <n v="608.56050955414014"/>
    <n v="151936.44585987262"/>
    <x v="22"/>
    <n v="9.8593944231838676E-2"/>
    <n v="4.5204078359413298E-3"/>
    <n v="1.1285890057723864"/>
    <n v="0.86936563553260848"/>
  </r>
  <r>
    <x v="23"/>
    <s v="FLL"/>
    <n v="483"/>
    <n v="135915350"/>
    <n v="13214469"/>
    <n v="259168"/>
    <n v="139593955"/>
    <n v="74346608"/>
    <x v="1"/>
    <n v="27359.149068322982"/>
    <n v="536.5797101449275"/>
    <n v="289014.39958592132"/>
    <x v="23"/>
    <n v="9.7225729102709879E-2"/>
    <n v="1.9068339227320534E-3"/>
    <n v="1.0270654124055891"/>
    <n v="0.5470067067479869"/>
  </r>
  <r>
    <x v="24"/>
    <s v="BOS"/>
    <n v="739"/>
    <n v="293269231"/>
    <n v="16066807"/>
    <n v="363359"/>
    <n v="275676746"/>
    <n v="281218012"/>
    <x v="1"/>
    <n v="21741.28146143437"/>
    <n v="491.69012178619755"/>
    <n v="373040.25169147499"/>
    <x v="24"/>
    <n v="5.4785177924103465E-2"/>
    <n v="1.2389946219758731E-3"/>
    <n v="0.94001251021113774"/>
    <n v="0.95890731885200731"/>
  </r>
  <r>
    <x v="25"/>
    <s v="MKE"/>
    <n v="255"/>
    <n v="63651938"/>
    <n v="3277356"/>
    <n v="111591"/>
    <n v="47285532"/>
    <n v="32865081"/>
    <x v="0"/>
    <n v="12852.376470588235"/>
    <n v="437.61176470588236"/>
    <n v="185433.45882352942"/>
    <x v="25"/>
    <n v="5.1488707225222273E-2"/>
    <n v="1.7531437927310242E-3"/>
    <n v="0.74287654839354611"/>
    <n v="0.5163249074992815"/>
  </r>
  <r>
    <x v="26"/>
    <s v="IAH"/>
    <n v="951"/>
    <n v="221038717"/>
    <n v="20958555"/>
    <n v="510134"/>
    <n v="152012220"/>
    <n v="231003316"/>
    <x v="1"/>
    <n v="22038.438485804418"/>
    <n v="536.41850683491066"/>
    <n v="159844.60567823343"/>
    <x v="26"/>
    <n v="9.481847924406836E-2"/>
    <n v="2.3078943224231615E-3"/>
    <n v="0.68771761826684874"/>
    <n v="1.0450807855530577"/>
  </r>
  <r>
    <x v="27"/>
    <s v="GRR"/>
    <n v="100"/>
    <n v="20760303"/>
    <n v="1281238"/>
    <n v="76256"/>
    <n v="21618257"/>
    <n v="16600949"/>
    <x v="0"/>
    <n v="12812.38"/>
    <n v="762.56"/>
    <n v="216182.57"/>
    <x v="27"/>
    <n v="6.1715765901875323E-2"/>
    <n v="3.6731641151865656E-3"/>
    <n v="1.0413266607910299"/>
    <n v="0.79964868528171285"/>
  </r>
  <r>
    <x v="28"/>
    <s v="BUF"/>
    <n v="171"/>
    <n v="40834773"/>
    <n v="2379491"/>
    <n v="116648"/>
    <n v="31839557"/>
    <n v="27080174"/>
    <x v="0"/>
    <n v="13915.152046783625"/>
    <n v="682.15204678362568"/>
    <n v="186196.23976608188"/>
    <x v="28"/>
    <n v="5.8271194503762759E-2"/>
    <n v="2.8565849992603118E-3"/>
    <n v="0.77971676247594179"/>
    <n v="0.66316455340648028"/>
  </r>
  <r>
    <x v="29"/>
    <s v="ATL"/>
    <n v="1143"/>
    <n v="268478717"/>
    <n v="49056316"/>
    <n v="870381"/>
    <n v="322766172"/>
    <n v="160255811"/>
    <x v="1"/>
    <n v="42918.911636045494"/>
    <n v="761.48818897637796"/>
    <n v="282385.10236220475"/>
    <x v="29"/>
    <n v="0.18271957102655553"/>
    <n v="3.2418994314547473E-3"/>
    <n v="1.2022039422961039"/>
    <n v="0.59690322119648687"/>
  </r>
  <r>
    <x v="30"/>
    <s v="HNL"/>
    <n v="534"/>
    <n v="149343367"/>
    <n v="9707527"/>
    <n v="315474"/>
    <n v="94944300"/>
    <n v="118825467"/>
    <x v="1"/>
    <n v="18178.889513108614"/>
    <n v="590.77528089887642"/>
    <n v="177798.31460674157"/>
    <x v="30"/>
    <n v="6.5001393734480356E-2"/>
    <n v="2.1124071750705875E-3"/>
    <n v="0.63574500767750874"/>
    <n v="0.79565279253413379"/>
  </r>
  <r>
    <x v="31"/>
    <s v="HSV"/>
    <n v="111"/>
    <n v="16498122"/>
    <n v="534416"/>
    <n v="60336"/>
    <n v="16740892"/>
    <n v="12295704"/>
    <x v="0"/>
    <n v="4814.5585585585586"/>
    <n v="543.56756756756761"/>
    <n v="150818.84684684683"/>
    <x v="31"/>
    <n v="3.239253534432586E-2"/>
    <n v="3.6571435221536123E-3"/>
    <n v="1.0147150081688086"/>
    <n v="0.74527900811983328"/>
  </r>
  <r>
    <x v="32"/>
    <s v="IND"/>
    <n v="423"/>
    <n v="62379812"/>
    <n v="4008256"/>
    <n v="152937"/>
    <n v="96173092"/>
    <n v="51783203"/>
    <x v="0"/>
    <n v="9475.7825059101651"/>
    <n v="361.55319148936172"/>
    <n v="227359.55555555556"/>
    <x v="32"/>
    <n v="6.4255660148510862E-2"/>
    <n v="2.4517066515044963E-3"/>
    <n v="1.5417342392760016"/>
    <n v="0.8301275899965842"/>
  </r>
  <r>
    <x v="33"/>
    <s v="JAN"/>
    <n v="106"/>
    <n v="12694210"/>
    <n v="497587"/>
    <n v="83297"/>
    <n v="10574373"/>
    <n v="6573354"/>
    <x v="0"/>
    <n v="4694.2169811320755"/>
    <n v="785.82075471698113"/>
    <n v="99758.235849056597"/>
    <x v="33"/>
    <n v="3.919794930129563E-2"/>
    <n v="6.5618104631954251E-3"/>
    <n v="0.83300756801722986"/>
    <n v="0.51782300749711874"/>
  </r>
  <r>
    <x v="34"/>
    <s v="JAX"/>
    <n v="263"/>
    <n v="47972407"/>
    <n v="2722032"/>
    <n v="93502"/>
    <n v="51538068"/>
    <n v="23468514"/>
    <x v="0"/>
    <n v="10349.931558935361"/>
    <n v="355.5209125475285"/>
    <n v="195962.23574144486"/>
    <x v="34"/>
    <n v="5.674161815562017E-2"/>
    <n v="1.949078769385076E-3"/>
    <n v="1.0743273315429014"/>
    <n v="0.48920859860127508"/>
  </r>
  <r>
    <x v="35"/>
    <s v="JFK"/>
    <n v="427"/>
    <n v="751249580"/>
    <n v="28314048"/>
    <n v="438897"/>
    <n v="314403249"/>
    <n v="889061242"/>
    <x v="1"/>
    <n v="66309.24590163934"/>
    <n v="1027.8618266978922"/>
    <n v="736307.37470725994"/>
    <x v="35"/>
    <n v="3.7689269656563405E-2"/>
    <n v="5.8422262279334653E-4"/>
    <n v="0.41850705460627347"/>
    <n v="1.1834432466504674"/>
  </r>
  <r>
    <x v="36"/>
    <s v="SNA"/>
    <n v="174"/>
    <n v="82747035"/>
    <n v="4792579"/>
    <n v="264726"/>
    <n v="69845790"/>
    <n v="52602289"/>
    <x v="0"/>
    <n v="27543.557471264368"/>
    <n v="1521.4137931034484"/>
    <n v="401412.58620689658"/>
    <x v="36"/>
    <n v="5.7918437802635468E-2"/>
    <n v="3.1992203708567928E-3"/>
    <n v="0.84408812956258794"/>
    <n v="0.63569998610826361"/>
  </r>
  <r>
    <x v="37"/>
    <s v="OGG"/>
    <n v="129"/>
    <n v="27928799"/>
    <n v="3246892"/>
    <n v="132496"/>
    <n v="35969756"/>
    <n v="25187466"/>
    <x v="0"/>
    <n v="25169.705426356588"/>
    <n v="1027.1007751937984"/>
    <n v="278835.31782945734"/>
    <x v="37"/>
    <n v="0.11625605526395889"/>
    <n v="4.7440636455581206E-3"/>
    <n v="1.2879091578553019"/>
    <n v="0.90184565401469641"/>
  </r>
  <r>
    <x v="38"/>
    <s v="MCI"/>
    <n v="433"/>
    <n v="83698406"/>
    <n v="5137881"/>
    <n v="129824"/>
    <n v="80083910"/>
    <n v="45343903"/>
    <x v="0"/>
    <n v="11865.77598152425"/>
    <n v="299.82448036951502"/>
    <n v="184951.29330254041"/>
    <x v="38"/>
    <n v="6.1385649327658644E-2"/>
    <n v="1.5510928607170846E-3"/>
    <n v="0.95681523492812992"/>
    <n v="0.54175348333395978"/>
  </r>
  <r>
    <x v="39"/>
    <s v="LGA"/>
    <n v="290"/>
    <n v="282788539"/>
    <n v="14237784"/>
    <n v="360274"/>
    <n v="97135155"/>
    <n v="279675769"/>
    <x v="1"/>
    <n v="49095.806896551723"/>
    <n v="1242.3241379310346"/>
    <n v="334948.81034482759"/>
    <x v="39"/>
    <n v="5.0347811302211228E-2"/>
    <n v="1.2740049553422673E-3"/>
    <n v="0.34349042342200437"/>
    <n v="0.98899258785024524"/>
  </r>
  <r>
    <x v="40"/>
    <s v="STL"/>
    <n v="498"/>
    <n v="74041272"/>
    <n v="6247994"/>
    <n v="185474"/>
    <n v="45960857"/>
    <n v="94287072"/>
    <x v="0"/>
    <n v="12546.172690763053"/>
    <n v="372.43775100401604"/>
    <n v="92290.877510040154"/>
    <x v="40"/>
    <n v="8.4385287167946008E-2"/>
    <n v="2.5050082878100744E-3"/>
    <n v="0.62074645341047086"/>
    <n v="1.2734393866166966"/>
  </r>
  <r>
    <x v="41"/>
    <s v="ABE"/>
    <n v="160"/>
    <n v="12644285"/>
    <n v="338596"/>
    <n v="88084"/>
    <n v="8036849"/>
    <n v="11085895"/>
    <x v="0"/>
    <n v="2116.2249999999999"/>
    <n v="550.52499999999998"/>
    <n v="50230.306250000001"/>
    <x v="41"/>
    <n v="2.6778580204416463E-2"/>
    <n v="6.9663092851829896E-3"/>
    <n v="0.63561118718852039"/>
    <n v="0.87675143355278684"/>
  </r>
  <r>
    <x v="42"/>
    <s v="LIT"/>
    <n v="162"/>
    <n v="21380293"/>
    <n v="996837"/>
    <n v="99039"/>
    <n v="20286138"/>
    <n v="10951628"/>
    <x v="0"/>
    <n v="6153.3148148148148"/>
    <n v="611.35185185185185"/>
    <n v="125223.07407407407"/>
    <x v="42"/>
    <n v="4.6624103795022825E-2"/>
    <n v="4.6322564428841083E-3"/>
    <n v="0.94882413444942026"/>
    <n v="0.51223002416290553"/>
  </r>
  <r>
    <x v="43"/>
    <s v="LGB"/>
    <n v="120"/>
    <n v="26879561"/>
    <n v="1276679"/>
    <n v="300184"/>
    <n v="17532933"/>
    <n v="17957244"/>
    <x v="0"/>
    <n v="10638.991666666667"/>
    <n v="2501.5333333333333"/>
    <n v="146107.77499999999"/>
    <x v="43"/>
    <n v="4.7496274213704608E-2"/>
    <n v="1.1167741913642117E-2"/>
    <n v="0.65227750557384478"/>
    <n v="0.66806314284671542"/>
  </r>
  <r>
    <x v="44"/>
    <s v="LAX"/>
    <n v="3167"/>
    <n v="645398203"/>
    <n v="36114325"/>
    <n v="642228"/>
    <n v="446924136"/>
    <n v="601771581"/>
    <x v="1"/>
    <n v="11403.323334385854"/>
    <n v="202.78749605304705"/>
    <n v="141119.0830438901"/>
    <x v="44"/>
    <n v="5.5956655646281682E-2"/>
    <n v="9.9508798911235883E-4"/>
    <n v="0.69247812268854425"/>
    <n v="0.93240355830367871"/>
  </r>
  <r>
    <x v="45"/>
    <s v="SDF"/>
    <n v="248"/>
    <n v="34000379"/>
    <n v="1676047"/>
    <n v="147140"/>
    <n v="33611496"/>
    <n v="31965444"/>
    <x v="0"/>
    <n v="6758.2540322580644"/>
    <n v="593.30645161290317"/>
    <n v="135530.22580645161"/>
    <x v="45"/>
    <n v="4.9294950506287002E-2"/>
    <n v="4.3275988188249317E-3"/>
    <n v="0.98856239220156927"/>
    <n v="0.94014963774374394"/>
  </r>
  <r>
    <x v="46"/>
    <s v="LAS"/>
    <n v="1307"/>
    <n v="227199370"/>
    <n v="21879137"/>
    <n v="521559"/>
    <n v="207292917"/>
    <n v="286995394"/>
    <x v="1"/>
    <n v="16739.967100229533"/>
    <n v="399.05049732211171"/>
    <n v="158602.07880642693"/>
    <x v="46"/>
    <n v="9.6299285512983598E-2"/>
    <n v="2.2956005555825267E-3"/>
    <n v="0.91238332659109045"/>
    <n v="1.263187455141271"/>
  </r>
  <r>
    <x v="47"/>
    <s v="TYS"/>
    <n v="149"/>
    <n v="18213469"/>
    <n v="871964"/>
    <n v="100421"/>
    <n v="15567020"/>
    <n v="10776925"/>
    <x v="0"/>
    <n v="5852.1073825503354"/>
    <n v="673.96644295302008"/>
    <n v="104476.64429530202"/>
    <x v="47"/>
    <n v="4.7874679996435604E-2"/>
    <n v="5.5135570274943233E-3"/>
    <n v="0.8546982455676071"/>
    <n v="0.59170084512730658"/>
  </r>
  <r>
    <x v="48"/>
    <s v="MEM"/>
    <n v="296"/>
    <n v="52591000"/>
    <n v="1788805"/>
    <n v="218459"/>
    <n v="29412000"/>
    <n v="69937000"/>
    <x v="0"/>
    <n v="6043.260135135135"/>
    <n v="738.03716216216219"/>
    <n v="99364.864864864867"/>
    <x v="48"/>
    <n v="3.4013519423475497E-2"/>
    <n v="4.1539236751535437E-3"/>
    <n v="0.55925918883459147"/>
    <n v="1.3298282976174631"/>
  </r>
  <r>
    <x v="49"/>
    <s v="MIA"/>
    <n v="1192"/>
    <n v="425978315"/>
    <n v="21375095"/>
    <n v="405896"/>
    <n v="275371292"/>
    <n v="519011715"/>
    <x v="1"/>
    <n v="17932.12667785235"/>
    <n v="340.51677852348996"/>
    <n v="231016.18456375838"/>
    <x v="49"/>
    <n v="5.0178833633820072E-2"/>
    <n v="9.5285601568708962E-4"/>
    <n v="0.64644439001548704"/>
    <n v="1.2183993802595328"/>
  </r>
  <r>
    <x v="50"/>
    <s v="MSP"/>
    <n v="591"/>
    <n v="133266239"/>
    <n v="18273449"/>
    <n v="404612"/>
    <n v="169986376"/>
    <n v="125522924"/>
    <x v="1"/>
    <n v="30919.541455160743"/>
    <n v="684.62267343485621"/>
    <n v="287625.0016920474"/>
    <x v="50"/>
    <n v="0.13711986724559699"/>
    <n v="3.0361177972464577E-3"/>
    <n v="1.2755396811340942"/>
    <n v="0.94189589908063664"/>
  </r>
  <r>
    <x v="51"/>
    <s v="MOB"/>
    <n v="103"/>
    <n v="10749927"/>
    <n v="289882"/>
    <n v="136814"/>
    <n v="9018197"/>
    <n v="5518111"/>
    <x v="0"/>
    <n v="2814.3883495145633"/>
    <n v="1328.2912621359224"/>
    <n v="87555.310679611648"/>
    <x v="51"/>
    <n v="2.6965950559478216E-2"/>
    <n v="1.2726970145936805E-2"/>
    <n v="0.83890774328048923"/>
    <n v="0.51331613693748801"/>
  </r>
  <r>
    <x v="52"/>
    <s v="MYR"/>
    <n v="129"/>
    <n v="13689806"/>
    <n v="886345"/>
    <n v="162625"/>
    <n v="8040955"/>
    <n v="10758392"/>
    <x v="0"/>
    <n v="6870.8914728682166"/>
    <n v="1260.6589147286822"/>
    <n v="62332.984496124031"/>
    <x v="52"/>
    <n v="6.4744891198604271E-2"/>
    <n v="1.1879277178946145E-2"/>
    <n v="0.5873680751940531"/>
    <n v="0.78586884284554503"/>
  </r>
  <r>
    <x v="53"/>
    <s v="BNA"/>
    <n v="289"/>
    <n v="72487808"/>
    <n v="5604148"/>
    <n v="178732"/>
    <n v="69607358"/>
    <n v="46147712"/>
    <x v="0"/>
    <n v="19391.515570934254"/>
    <n v="618.4498269896194"/>
    <n v="240855.91003460207"/>
    <x v="53"/>
    <n v="7.731159424768369E-2"/>
    <n v="2.4656836084766143E-3"/>
    <n v="0.96026297277467676"/>
    <n v="0.63662722426369966"/>
  </r>
  <r>
    <x v="54"/>
    <s v="MSY"/>
    <n v="162"/>
    <n v="42845662"/>
    <n v="5344625"/>
    <n v="105277"/>
    <n v="32936152"/>
    <n v="42694239"/>
    <x v="0"/>
    <n v="32991.51234567901"/>
    <n v="649.85802469135797"/>
    <n v="203309.58024691357"/>
    <x v="54"/>
    <n v="0.12474133320661494"/>
    <n v="2.4571215634385576E-3"/>
    <n v="0.76871614213826356"/>
    <n v="0.99646584991498088"/>
  </r>
  <r>
    <x v="55"/>
    <s v="EWR"/>
    <n v="383"/>
    <n v="474822448"/>
    <n v="18789673"/>
    <n v="415534"/>
    <n v="255322611"/>
    <n v="652396219"/>
    <x v="1"/>
    <n v="49059.198433420366"/>
    <n v="1084.9451697127938"/>
    <n v="666638.67101827671"/>
    <x v="55"/>
    <n v="3.9571998078742898E-2"/>
    <n v="8.751355411907569E-4"/>
    <n v="0.53772228350922446"/>
    <n v="1.373979308998466"/>
  </r>
  <r>
    <x v="56"/>
    <s v="ORF"/>
    <n v="201"/>
    <n v="32369787"/>
    <n v="1450388"/>
    <n v="71336"/>
    <n v="24614773"/>
    <n v="14784667"/>
    <x v="0"/>
    <n v="7215.8606965174131"/>
    <n v="354.90547263681594"/>
    <n v="122461.55721393035"/>
    <x v="56"/>
    <n v="4.4806844110528127E-2"/>
    <n v="2.2037834231037725E-3"/>
    <n v="0.76042431172006164"/>
    <n v="0.45674279537273443"/>
  </r>
  <r>
    <x v="57"/>
    <s v="OAK"/>
    <n v="222"/>
    <n v="119466284"/>
    <n v="5374187"/>
    <n v="209183"/>
    <n v="69287645"/>
    <n v="93271475"/>
    <x v="1"/>
    <n v="24208.049549549549"/>
    <n v="942.26576576576576"/>
    <n v="312106.50900900899"/>
    <x v="57"/>
    <n v="4.4984968311226621E-2"/>
    <n v="1.750979380927258E-3"/>
    <n v="0.57997656476868398"/>
    <n v="0.78073471340248601"/>
  </r>
  <r>
    <x v="58"/>
    <s v="ONT"/>
    <n v="189"/>
    <n v="52616798"/>
    <n v="2085482"/>
    <n v="85306"/>
    <n v="26839761"/>
    <n v="30596566"/>
    <x v="0"/>
    <n v="11034.296296296296"/>
    <n v="451.35449735449737"/>
    <n v="142009.31746031746"/>
    <x v="58"/>
    <n v="3.9635289095318951E-2"/>
    <n v="1.6212693140316139E-3"/>
    <n v="0.51009871410267116"/>
    <n v="0.58149806075238553"/>
  </r>
  <r>
    <x v="59"/>
    <s v="MCO"/>
    <n v="624"/>
    <n v="237766830"/>
    <n v="18827393"/>
    <n v="304892"/>
    <n v="266832335"/>
    <n v="161043847"/>
    <x v="1"/>
    <n v="30172.104166666668"/>
    <n v="488.60897435897436"/>
    <n v="427615.921474359"/>
    <x v="59"/>
    <n v="7.9184270572981094E-2"/>
    <n v="1.2823151151907942E-3"/>
    <n v="1.1222437334930191"/>
    <n v="0.67731839214073719"/>
  </r>
  <r>
    <x v="60"/>
    <s v="PHL"/>
    <n v="1045"/>
    <n v="271810046"/>
    <n v="15312738"/>
    <n v="487096"/>
    <n v="126133472"/>
    <n v="233357828"/>
    <x v="1"/>
    <n v="14653.337799043062"/>
    <n v="466.12057416267942"/>
    <n v="120701.88708133971"/>
    <x v="60"/>
    <n v="5.6336173829277816E-2"/>
    <n v="1.7920456111471317E-3"/>
    <n v="0.46405007414626609"/>
    <n v="0.85853275636471504"/>
  </r>
  <r>
    <x v="61"/>
    <s v="PHX"/>
    <n v="827"/>
    <n v="255649830"/>
    <n v="21488569"/>
    <n v="435937"/>
    <n v="243387644"/>
    <n v="137348133"/>
    <x v="1"/>
    <n v="25983.75937122128"/>
    <n v="527.13059250302297"/>
    <n v="294301.86698911729"/>
    <x v="61"/>
    <n v="8.4054697004883591E-2"/>
    <n v="1.7052113823036769E-3"/>
    <n v="0.95203522724814638"/>
    <n v="0.53725102418413495"/>
  </r>
  <r>
    <x v="62"/>
    <s v="GSO"/>
    <n v="112"/>
    <n v="12685880"/>
    <n v="822773"/>
    <n v="14769"/>
    <n v="14948421"/>
    <n v="11585196"/>
    <x v="0"/>
    <n v="7346.1875"/>
    <n v="131.86607142857142"/>
    <n v="133468.04464285713"/>
    <x v="62"/>
    <n v="6.4857384745874935E-2"/>
    <n v="1.1642077648535221E-3"/>
    <n v="1.1783511273951828"/>
    <n v="0.91323550277946819"/>
  </r>
  <r>
    <x v="63"/>
    <s v="PIT"/>
    <n v="445"/>
    <n v="93876811"/>
    <n v="4053880"/>
    <n v="141674"/>
    <n v="55942880"/>
    <n v="78661540"/>
    <x v="0"/>
    <n v="9109.8426966292136"/>
    <n v="318.36853932584268"/>
    <n v="125714.33707865169"/>
    <x v="63"/>
    <n v="4.3182975186492008E-2"/>
    <n v="1.5091479833076137E-3"/>
    <n v="0.5959179844743554"/>
    <n v="0.83792300954918464"/>
  </r>
  <r>
    <x v="64"/>
    <s v="CMH"/>
    <n v="319"/>
    <n v="57376864"/>
    <n v="3415246"/>
    <n v="159211"/>
    <n v="55197236"/>
    <n v="28909060"/>
    <x v="0"/>
    <n v="10706.100313479625"/>
    <n v="499.09404388714734"/>
    <n v="173032.08777429466"/>
    <x v="64"/>
    <n v="5.9523050963538195E-2"/>
    <n v="2.7748292412774597E-3"/>
    <n v="0.96201207511097153"/>
    <n v="0.50384524326739089"/>
  </r>
  <r>
    <x v="65"/>
    <s v="PDX"/>
    <n v="365"/>
    <n v="99159243"/>
    <n v="8058757"/>
    <n v="209327"/>
    <n v="104192725"/>
    <n v="101721298"/>
    <x v="0"/>
    <n v="22078.786301369862"/>
    <n v="573.49863013698632"/>
    <n v="285459.52054794523"/>
    <x v="65"/>
    <n v="8.1270860448178286E-2"/>
    <n v="2.1110185361136731E-3"/>
    <n v="1.0507616017197712"/>
    <n v="1.0258377829689562"/>
  </r>
  <r>
    <x v="66"/>
    <s v="RDU"/>
    <n v="287"/>
    <n v="53607399"/>
    <n v="4805103"/>
    <n v="182013"/>
    <n v="67735026"/>
    <n v="40188721"/>
    <x v="0"/>
    <n v="16742.519163763067"/>
    <n v="634.19163763066206"/>
    <n v="236010.54355400696"/>
    <x v="66"/>
    <n v="8.9635070711041209E-2"/>
    <n v="3.395296235133512E-3"/>
    <n v="1.2635387514324281"/>
    <n v="0.74968608344530951"/>
  </r>
  <r>
    <x v="67"/>
    <s v="RNO"/>
    <n v="270"/>
    <n v="34875855"/>
    <n v="1656293"/>
    <n v="36122"/>
    <n v="25099279"/>
    <n v="18508870"/>
    <x v="0"/>
    <n v="6134.4185185185188"/>
    <n v="133.78518518518518"/>
    <n v="92960.292592592596"/>
    <x v="67"/>
    <n v="4.7491108103299547E-2"/>
    <n v="1.0357308802895298E-3"/>
    <n v="0.71967494416982747"/>
    <n v="0.5307072758502982"/>
  </r>
  <r>
    <x v="68"/>
    <s v="RIC"/>
    <n v="166"/>
    <n v="21574347"/>
    <n v="1718711"/>
    <n v="102000"/>
    <n v="29771783"/>
    <n v="13310493"/>
    <x v="0"/>
    <n v="10353.680722891566"/>
    <n v="614.45783132530119"/>
    <n v="179348.09036144579"/>
    <x v="68"/>
    <n v="7.9664566440875356E-2"/>
    <n v="4.727837185524086E-3"/>
    <n v="1.3799621837917042"/>
    <n v="0.61695925257900042"/>
  </r>
  <r>
    <x v="69"/>
    <s v="DCA"/>
    <n v="633"/>
    <n v="164795830"/>
    <n v="11495977"/>
    <n v="292781"/>
    <n v="130001210"/>
    <n v="157359887"/>
    <x v="1"/>
    <n v="18161.10110584518"/>
    <n v="462.52922590837284"/>
    <n v="205373.15955766191"/>
    <x v="69"/>
    <n v="6.9758907127686426E-2"/>
    <n v="1.7766286926070884E-3"/>
    <n v="0.78886225458496129"/>
    <n v="0.95487784490663385"/>
  </r>
  <r>
    <x v="70"/>
    <s v="SMF"/>
    <n v="314"/>
    <n v="79647202"/>
    <n v="4628597"/>
    <n v="285140"/>
    <n v="80092799"/>
    <n v="78346563"/>
    <x v="0"/>
    <n v="14740.754777070064"/>
    <n v="908.08917197452229"/>
    <n v="255072.60828025479"/>
    <x v="70"/>
    <n v="5.8113742652252866E-2"/>
    <n v="3.5800378775390001E-3"/>
    <n v="1.0055946346991573"/>
    <n v="0.98366999759765572"/>
  </r>
  <r>
    <x v="71"/>
    <s v="SLC"/>
    <n v="506"/>
    <n v="76208683"/>
    <n v="10833708"/>
    <n v="319994"/>
    <n v="80368137"/>
    <n v="51901975"/>
    <x v="0"/>
    <n v="21410.490118577076"/>
    <n v="632.399209486166"/>
    <n v="158830.31027667984"/>
    <x v="71"/>
    <n v="0.14215844669563441"/>
    <n v="4.1989178582183349E-3"/>
    <n v="1.0545797911243264"/>
    <n v="0.68105067502609906"/>
  </r>
  <r>
    <x v="72"/>
    <s v="SAT"/>
    <n v="417"/>
    <n v="55141847"/>
    <n v="4212019"/>
    <n v="265995"/>
    <n v="58805803"/>
    <n v="34627377"/>
    <x v="0"/>
    <n v="10100.764988009592"/>
    <n v="637.87769784172667"/>
    <n v="141021.11031175061"/>
    <x v="72"/>
    <n v="7.638516352199809E-2"/>
    <n v="4.8238318894178499E-3"/>
    <n v="1.0664460151289454"/>
    <n v="0.62796911753790186"/>
  </r>
  <r>
    <x v="73"/>
    <s v="SAN"/>
    <n v="380"/>
    <n v="140249881"/>
    <n v="9713066"/>
    <n v="195268"/>
    <n v="96422734"/>
    <n v="114082513"/>
    <x v="1"/>
    <n v="25560.7"/>
    <n v="513.86315789473679"/>
    <n v="253744.03684210527"/>
    <x v="73"/>
    <n v="6.925543131120375E-2"/>
    <n v="1.3922863863249908E-3"/>
    <n v="0.68750670811620862"/>
    <n v="0.81342324276196709"/>
  </r>
  <r>
    <x v="74"/>
    <s v="SFO"/>
    <n v="1415"/>
    <n v="392882361"/>
    <n v="24023599"/>
    <n v="428171"/>
    <n v="356136299"/>
    <n v="459227411"/>
    <x v="1"/>
    <n v="16977.808480565371"/>
    <n v="302.59434628975265"/>
    <n v="251686.43038869259"/>
    <x v="74"/>
    <n v="6.1147054143262998E-2"/>
    <n v="1.0898198608616078E-3"/>
    <n v="0.90647057326149594"/>
    <n v="1.1688674692117318"/>
  </r>
  <r>
    <x v="75"/>
    <s v="SJC"/>
    <n v="187"/>
    <n v="71171800"/>
    <n v="4765001"/>
    <n v="127417"/>
    <n v="82245827"/>
    <n v="62874597"/>
    <x v="0"/>
    <n v="25481.288770053477"/>
    <n v="681.37433155080214"/>
    <n v="439817.25668449199"/>
    <x v="75"/>
    <n v="6.6950688334424593E-2"/>
    <n v="1.7902736758098011E-3"/>
    <n v="1.1555957134707848"/>
    <n v="0.88342007649096976"/>
  </r>
  <r>
    <x v="76"/>
    <s v="SRQ"/>
    <n v="128"/>
    <n v="16518708"/>
    <n v="610614"/>
    <n v="103067"/>
    <n v="10071160"/>
    <n v="8578820"/>
    <x v="0"/>
    <n v="4770.421875"/>
    <n v="805.2109375"/>
    <n v="78680.9375"/>
    <x v="76"/>
    <n v="3.6964997504647455E-2"/>
    <n v="6.2394104914258426E-3"/>
    <n v="0.60968206472322173"/>
    <n v="0.51933964811291533"/>
  </r>
  <r>
    <x v="77"/>
    <s v="SAV"/>
    <n v="196"/>
    <n v="20718207"/>
    <n v="1017065"/>
    <n v="88691"/>
    <n v="18265442"/>
    <n v="9595809"/>
    <x v="0"/>
    <n v="5189.1071428571431"/>
    <n v="452.50510204081633"/>
    <n v="93191.030612244896"/>
    <x v="77"/>
    <n v="4.9090396673804833E-2"/>
    <n v="4.2808241079935151E-3"/>
    <n v="0.88161306622720781"/>
    <n v="0.46315827426572193"/>
  </r>
  <r>
    <x v="78"/>
    <s v="SEA"/>
    <n v="881"/>
    <n v="238140134"/>
    <n v="21108756"/>
    <n v="381408"/>
    <n v="196843811"/>
    <n v="226048187"/>
    <x v="1"/>
    <n v="23959.995459704882"/>
    <n v="432.92622020431327"/>
    <n v="223432.24858115776"/>
    <x v="78"/>
    <n v="8.8640060981909075E-2"/>
    <n v="1.6016115956330149E-3"/>
    <n v="0.82658814242541745"/>
    <n v="0.94922339717840254"/>
  </r>
  <r>
    <x v="79"/>
    <s v="RSW"/>
    <n v="348"/>
    <n v="64737516"/>
    <n v="4155189"/>
    <n v="78443"/>
    <n v="51549184"/>
    <n v="37963619"/>
    <x v="0"/>
    <n v="11940.198275862069"/>
    <n v="225.41091954022988"/>
    <n v="148129.83908045976"/>
    <x v="79"/>
    <n v="6.4185178189413383E-2"/>
    <n v="1.2117085246211795E-3"/>
    <n v="0.79627991905033857"/>
    <n v="0.58642378246332472"/>
  </r>
  <r>
    <x v="80"/>
    <s v="GEG"/>
    <n v="135"/>
    <n v="22517626"/>
    <n v="1566332"/>
    <n v="115761"/>
    <n v="19271509"/>
    <n v="11256295"/>
    <x v="0"/>
    <n v="11602.45925925926"/>
    <n v="857.48888888888894"/>
    <n v="142751.91851851851"/>
    <x v="80"/>
    <n v="6.9560263590842122E-2"/>
    <n v="5.1409060617669021E-3"/>
    <n v="0.85584106424007578"/>
    <n v="0.49988817648894246"/>
  </r>
  <r>
    <x v="81"/>
    <s v="TPA"/>
    <n v="605"/>
    <n v="108171558"/>
    <n v="9263336"/>
    <n v="189251"/>
    <n v="136912489"/>
    <n v="57958021"/>
    <x v="1"/>
    <n v="15311.29917355372"/>
    <n v="312.8115702479339"/>
    <n v="226301.63471074379"/>
    <x v="81"/>
    <n v="8.5635597483027834E-2"/>
    <n v="1.7495449219655319E-3"/>
    <n v="1.2656976707315244"/>
    <n v="0.53579722869481083"/>
  </r>
  <r>
    <x v="82"/>
    <s v="PVD"/>
    <n v="151"/>
    <n v="27287707"/>
    <n v="1776424"/>
    <n v="68015"/>
    <n v="22837231"/>
    <n v="26792412"/>
    <x v="0"/>
    <n v="11764.397350993377"/>
    <n v="450.43046357615896"/>
    <n v="151239.94039735099"/>
    <x v="82"/>
    <n v="6.5099790172915589E-2"/>
    <n v="2.4925143032355191E-3"/>
    <n v="0.8369054607629729"/>
    <n v="0.98184915280715968"/>
  </r>
  <r>
    <x v="83"/>
    <s v="TUS"/>
    <n v="240"/>
    <n v="28195668"/>
    <n v="1590321"/>
    <n v="141422"/>
    <n v="24500359"/>
    <n v="17292306"/>
    <x v="0"/>
    <n v="6626.3374999999996"/>
    <n v="589.25833333333333"/>
    <n v="102084.82916666666"/>
    <x v="83"/>
    <n v="5.6403026166998417E-2"/>
    <n v="5.015735041283647E-3"/>
    <n v="0.86894054079513205"/>
    <n v="0.61329655321519605"/>
  </r>
  <r>
    <x v="84"/>
    <s v="TUL"/>
    <n v="143"/>
    <n v="19624034"/>
    <n v="1373832"/>
    <n v="101441"/>
    <n v="18777193"/>
    <n v="14342974"/>
    <x v="0"/>
    <n v="9607.2167832167834"/>
    <n v="709.3776223776224"/>
    <n v="131309.04195804195"/>
    <x v="84"/>
    <n v="7.0007624324336173E-2"/>
    <n v="5.1692225971479667E-3"/>
    <n v="0.95684674211224874"/>
    <n v="0.73088815480038405"/>
  </r>
  <r>
    <x v="85"/>
    <s v="IAD"/>
    <n v="904"/>
    <n v="227118188"/>
    <n v="10713852"/>
    <n v="269070"/>
    <n v="187009228"/>
    <n v="281322422"/>
    <x v="1"/>
    <n v="11851.606194690265"/>
    <n v="297.64380530973449"/>
    <n v="206868.6150442478"/>
    <x v="85"/>
    <n v="4.7173025174012041E-2"/>
    <n v="1.1847135730054345E-3"/>
    <n v="0.82340049313884101"/>
    <n v="1.2386609125289429"/>
  </r>
  <r>
    <x v="86"/>
    <s v="ICT"/>
    <n v="131"/>
    <n v="18817165"/>
    <n v="782725"/>
    <n v="117867"/>
    <n v="12910901"/>
    <n v="9280932"/>
    <x v="0"/>
    <n v="5975"/>
    <n v="899.74809160305347"/>
    <n v="98556.496183206109"/>
    <x v="86"/>
    <n v="4.159632973404867E-2"/>
    <n v="6.263802225255505E-3"/>
    <n v="0.68612360044671983"/>
    <n v="0.49321627354598846"/>
  </r>
  <r>
    <x v="87"/>
    <s v="OKC"/>
    <n v="118"/>
    <n v="27264332"/>
    <n v="1886219"/>
    <n v="184652"/>
    <n v="36730652"/>
    <n v="16987625"/>
    <x v="0"/>
    <n v="15984.906779661016"/>
    <n v="1564.8474576271187"/>
    <n v="311276.71186440677"/>
    <x v="87"/>
    <n v="6.9182659600829394E-2"/>
    <n v="6.7726581381124615E-3"/>
    <n v="1.347205279043697"/>
    <n v="0.62307138131974038"/>
  </r>
  <r>
    <x v="88"/>
    <s v="HOU"/>
    <n v="309"/>
    <n v="60416192"/>
    <n v="5945413"/>
    <n v="200740"/>
    <n v="47542495"/>
    <n v="44044662"/>
    <x v="0"/>
    <n v="19240.818770226539"/>
    <n v="649.64401294498384"/>
    <n v="153859.2071197411"/>
    <x v="88"/>
    <n v="9.8407609006539179E-2"/>
    <n v="3.3226192077779413E-3"/>
    <n v="0.78691644451871445"/>
    <n v="0.729020822762215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61119B-E124-47B5-A692-796E38D651D5}" name="PivotTable6" cacheId="0" dataOnRows="1" applyNumberFormats="0" applyBorderFormats="0" applyFontFormats="0" applyPatternFormats="0" applyAlignmentFormats="0" applyWidthHeightFormats="1" dataCaption="Metrics: Average &gt;= 100M" updatedVersion="6" minRefreshableVersion="3" useAutoFormatting="1" itemPrintTitles="1" createdVersion="6" indent="0" compact="0" compactData="0" multipleFieldFilters="0">
  <location ref="C3:D11" firstHeaderRow="1" firstDataRow="1" firstDataCol="1"/>
  <pivotFields count="17">
    <pivotField compact="0" outline="0" showAll="0">
      <items count="90">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t="default"/>
      </items>
    </pivotField>
    <pivotField compact="0" outline="0" showAll="0"/>
    <pivotField compact="0" numFmtId="165" outline="0" showAll="0"/>
    <pivotField compact="0" numFmtId="166" outline="0" showAll="0"/>
    <pivotField compact="0" numFmtId="165" outline="0" showAll="0"/>
    <pivotField compact="0" numFmtId="37" outline="0" showAll="0"/>
    <pivotField compact="0" numFmtId="166" outline="0" showAll="0"/>
    <pivotField compact="0" numFmtId="166" outline="0" showAll="0"/>
    <pivotField compact="0" outline="0" showAll="0">
      <items count="3">
        <item x="0"/>
        <item h="1" x="1"/>
        <item t="default"/>
      </items>
    </pivotField>
    <pivotField dataField="1" compact="0" numFmtId="166" outline="0" showAll="0"/>
    <pivotField dataField="1" compact="0" numFmtId="166" outline="0" showAll="0"/>
    <pivotField dataField="1" compact="0" numFmtId="166" outline="0" showAll="0"/>
    <pivotField dataField="1" compact="0" numFmtId="166" outline="0" showAll="0">
      <items count="90">
        <item x="77"/>
        <item x="51"/>
        <item x="18"/>
        <item x="21"/>
        <item x="33"/>
        <item x="76"/>
        <item x="42"/>
        <item x="10"/>
        <item x="67"/>
        <item x="41"/>
        <item x="86"/>
        <item x="83"/>
        <item x="47"/>
        <item x="56"/>
        <item x="5"/>
        <item x="0"/>
        <item x="68"/>
        <item x="72"/>
        <item x="80"/>
        <item x="52"/>
        <item x="1"/>
        <item x="7"/>
        <item x="34"/>
        <item x="64"/>
        <item x="9"/>
        <item x="81"/>
        <item x="84"/>
        <item x="71"/>
        <item x="62"/>
        <item x="38"/>
        <item x="14"/>
        <item x="79"/>
        <item x="31"/>
        <item x="22"/>
        <item x="32"/>
        <item x="25"/>
        <item x="45"/>
        <item x="16"/>
        <item x="66"/>
        <item x="29"/>
        <item x="88"/>
        <item x="87"/>
        <item x="3"/>
        <item x="43"/>
        <item x="23"/>
        <item x="28"/>
        <item x="53"/>
        <item x="58"/>
        <item x="27"/>
        <item x="61"/>
        <item x="6"/>
        <item x="17"/>
        <item x="63"/>
        <item x="82"/>
        <item x="40"/>
        <item x="44"/>
        <item x="37"/>
        <item x="15"/>
        <item x="50"/>
        <item x="46"/>
        <item x="11"/>
        <item x="30"/>
        <item x="60"/>
        <item x="48"/>
        <item x="4"/>
        <item x="26"/>
        <item x="69"/>
        <item x="70"/>
        <item x="78"/>
        <item x="59"/>
        <item x="54"/>
        <item x="20"/>
        <item x="65"/>
        <item x="19"/>
        <item x="2"/>
        <item x="73"/>
        <item x="36"/>
        <item x="8"/>
        <item x="85"/>
        <item x="74"/>
        <item x="75"/>
        <item x="24"/>
        <item x="57"/>
        <item x="49"/>
        <item x="13"/>
        <item x="12"/>
        <item x="39"/>
        <item x="55"/>
        <item x="35"/>
        <item t="default"/>
      </items>
    </pivotField>
    <pivotField dataField="1" compact="0" numFmtId="164" outline="0" showAll="0"/>
    <pivotField dataField="1" compact="0" numFmtId="164" outline="0" showAll="0"/>
    <pivotField dataField="1" compact="0" numFmtId="44" outline="0" showAll="0"/>
    <pivotField dataField="1" compact="0" numFmtId="44" outline="0" showAll="0"/>
  </pivotFields>
  <rowFields count="1">
    <field x="-2"/>
  </rowFields>
  <rowItems count="8">
    <i>
      <x/>
    </i>
    <i i="1">
      <x v="1"/>
    </i>
    <i i="2">
      <x v="2"/>
    </i>
    <i i="3">
      <x v="3"/>
    </i>
    <i i="4">
      <x v="4"/>
    </i>
    <i i="5">
      <x v="5"/>
    </i>
    <i i="6">
      <x v="6"/>
    </i>
    <i i="7">
      <x v="7"/>
    </i>
  </rowItems>
  <colItems count="1">
    <i/>
  </colItems>
  <dataFields count="8">
    <dataField name="Average of CALC -Total enplanements - Exp" fld="13" subtotal="average" baseField="0" baseItem="1" numFmtId="164"/>
    <dataField name="Average of CALC-Total Aero revenue - Emp" fld="12" subtotal="average" baseField="0" baseItem="16318464" numFmtId="44"/>
    <dataField name="Average of CALC - Total enplanements - Emp" fld="9" subtotal="average" baseField="0" baseItem="1" numFmtId="43"/>
    <dataField name="Average of CALC -Annual aircraft operations - 20153 - Emp" fld="10" subtotal="average" baseField="0" baseItem="1" numFmtId="2"/>
    <dataField name="Average of CALC -Total Non Aero Revenue - Emp" fld="11" subtotal="average" baseField="0" baseItem="1" numFmtId="44"/>
    <dataField name="Average of CALC -Annual aircraft operations - Exp" fld="14" subtotal="average" baseField="0" baseItem="1" numFmtId="167"/>
    <dataField name="Average of CALC-Total Non Aero Revenue - Exp" fld="15" subtotal="average" baseField="0" baseItem="1" numFmtId="44"/>
    <dataField name="Average of CALC-Total Aero revenue - Exp" fld="16" subtotal="average" baseField="0" baseItem="1" numFmtId="44"/>
  </dataFields>
  <formats count="10">
    <format dxfId="27">
      <pivotArea outline="0" collapsedLevelsAreSubtotals="1" fieldPosition="0">
        <references count="1">
          <reference field="4294967294" count="2" selected="0">
            <x v="3"/>
            <x v="4"/>
          </reference>
        </references>
      </pivotArea>
    </format>
    <format dxfId="26">
      <pivotArea outline="0" collapsedLevelsAreSubtotals="1" fieldPosition="0">
        <references count="1">
          <reference field="4294967294" count="1" selected="0">
            <x v="4"/>
          </reference>
        </references>
      </pivotArea>
    </format>
    <format dxfId="25">
      <pivotArea outline="0" collapsedLevelsAreSubtotals="1" fieldPosition="0">
        <references count="1">
          <reference field="4294967294" count="1" selected="0">
            <x v="5"/>
          </reference>
        </references>
      </pivotArea>
    </format>
    <format dxfId="24">
      <pivotArea outline="0" collapsedLevelsAreSubtotals="1" fieldPosition="0">
        <references count="1">
          <reference field="4294967294" count="1" selected="0">
            <x v="0"/>
          </reference>
        </references>
      </pivotArea>
    </format>
    <format dxfId="23">
      <pivotArea outline="0" collapsedLevelsAreSubtotals="1" fieldPosition="0">
        <references count="1">
          <reference field="4294967294" count="1" selected="0">
            <x v="7"/>
          </reference>
        </references>
      </pivotArea>
    </format>
    <format dxfId="22">
      <pivotArea outline="0" collapsedLevelsAreSubtotals="1" fieldPosition="0">
        <references count="1">
          <reference field="4294967294" count="1" selected="0">
            <x v="6"/>
          </reference>
        </references>
      </pivotArea>
    </format>
    <format dxfId="21">
      <pivotArea outline="0" fieldPosition="0">
        <references count="1">
          <reference field="4294967294" count="1" selected="0">
            <x v="1"/>
          </reference>
        </references>
      </pivotArea>
    </format>
    <format dxfId="20">
      <pivotArea outline="0" fieldPosition="0">
        <references count="1">
          <reference field="4294967294" count="1" selected="0">
            <x v="2"/>
          </reference>
        </references>
      </pivotArea>
    </format>
    <format dxfId="19">
      <pivotArea outline="0" collapsedLevelsAreSubtotals="1" fieldPosition="0"/>
    </format>
    <format dxfId="18">
      <pivotArea dataOnly="0" labelOnly="1" outline="0" fieldPosition="0">
        <references count="1">
          <reference field="4294967294" count="8">
            <x v="0"/>
            <x v="1"/>
            <x v="2"/>
            <x v="3"/>
            <x v="4"/>
            <x v="5"/>
            <x v="6"/>
            <x v="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2CFDE5-B211-4301-8C30-F38C2C897148}" name="PivotTable5" cacheId="0" dataOnRows="1" applyNumberFormats="0" applyBorderFormats="0" applyFontFormats="0" applyPatternFormats="0" applyAlignmentFormats="0" applyWidthHeightFormats="1" dataCaption="Metrics: Average &gt;= 100M" updatedVersion="6" minRefreshableVersion="3" useAutoFormatting="1" itemPrintTitles="1" createdVersion="6" indent="0" compact="0" compactData="0" multipleFieldFilters="0">
  <location ref="A3:B11" firstHeaderRow="1" firstDataRow="1" firstDataCol="1"/>
  <pivotFields count="17">
    <pivotField compact="0" outline="0" showAll="0"/>
    <pivotField compact="0" outline="0" showAll="0"/>
    <pivotField compact="0" numFmtId="165" outline="0" showAll="0"/>
    <pivotField compact="0" numFmtId="166" outline="0" showAll="0"/>
    <pivotField compact="0" numFmtId="165" outline="0" showAll="0"/>
    <pivotField compact="0" numFmtId="37" outline="0" showAll="0"/>
    <pivotField compact="0" numFmtId="166" outline="0" showAll="0"/>
    <pivotField compact="0" numFmtId="166" outline="0" showAll="0"/>
    <pivotField compact="0" outline="0" showAll="0">
      <items count="3">
        <item x="0"/>
        <item h="1" x="1"/>
        <item t="default"/>
      </items>
    </pivotField>
    <pivotField dataField="1" compact="0" numFmtId="166" outline="0" showAll="0"/>
    <pivotField dataField="1" compact="0" numFmtId="166" outline="0" showAll="0"/>
    <pivotField dataField="1" compact="0" numFmtId="166" outline="0" showAll="0"/>
    <pivotField dataField="1" compact="0" numFmtId="166" outline="0" showAll="0">
      <items count="90">
        <item x="77"/>
        <item x="51"/>
        <item x="18"/>
        <item x="21"/>
        <item x="33"/>
        <item x="76"/>
        <item x="42"/>
        <item x="10"/>
        <item x="67"/>
        <item x="41"/>
        <item x="86"/>
        <item x="83"/>
        <item x="47"/>
        <item x="56"/>
        <item x="5"/>
        <item x="0"/>
        <item x="68"/>
        <item x="72"/>
        <item x="80"/>
        <item x="52"/>
        <item x="1"/>
        <item x="7"/>
        <item x="34"/>
        <item x="64"/>
        <item x="9"/>
        <item x="81"/>
        <item x="84"/>
        <item x="71"/>
        <item x="62"/>
        <item x="38"/>
        <item x="14"/>
        <item x="79"/>
        <item x="31"/>
        <item x="22"/>
        <item x="32"/>
        <item x="25"/>
        <item x="45"/>
        <item x="16"/>
        <item x="66"/>
        <item x="29"/>
        <item x="88"/>
        <item x="87"/>
        <item x="3"/>
        <item x="43"/>
        <item x="23"/>
        <item x="28"/>
        <item x="53"/>
        <item x="58"/>
        <item x="27"/>
        <item x="61"/>
        <item x="6"/>
        <item x="17"/>
        <item x="63"/>
        <item x="82"/>
        <item x="40"/>
        <item x="44"/>
        <item x="37"/>
        <item x="15"/>
        <item x="50"/>
        <item x="46"/>
        <item x="11"/>
        <item x="30"/>
        <item x="60"/>
        <item x="48"/>
        <item x="4"/>
        <item x="26"/>
        <item x="69"/>
        <item x="70"/>
        <item x="78"/>
        <item x="59"/>
        <item x="54"/>
        <item x="20"/>
        <item x="65"/>
        <item x="19"/>
        <item x="2"/>
        <item x="73"/>
        <item x="36"/>
        <item x="8"/>
        <item x="85"/>
        <item x="74"/>
        <item x="75"/>
        <item x="24"/>
        <item x="57"/>
        <item x="49"/>
        <item x="13"/>
        <item x="12"/>
        <item x="39"/>
        <item x="55"/>
        <item x="35"/>
        <item t="default"/>
      </items>
    </pivotField>
    <pivotField dataField="1" compact="0" numFmtId="164" outline="0" showAll="0"/>
    <pivotField dataField="1" compact="0" numFmtId="164" outline="0" showAll="0"/>
    <pivotField dataField="1" compact="0" numFmtId="44" outline="0" showAll="0"/>
    <pivotField dataField="1" compact="0" numFmtId="44" outline="0" showAll="0"/>
  </pivotFields>
  <rowFields count="1">
    <field x="-2"/>
  </rowFields>
  <rowItems count="8">
    <i>
      <x/>
    </i>
    <i i="1">
      <x v="1"/>
    </i>
    <i i="2">
      <x v="2"/>
    </i>
    <i i="3">
      <x v="3"/>
    </i>
    <i i="4">
      <x v="4"/>
    </i>
    <i i="5">
      <x v="5"/>
    </i>
    <i i="6">
      <x v="6"/>
    </i>
    <i i="7">
      <x v="7"/>
    </i>
  </rowItems>
  <colItems count="1">
    <i/>
  </colItems>
  <dataFields count="8">
    <dataField name="Average of CALC -Total enplanements - Exp" fld="13" subtotal="average" baseField="0" baseItem="1" numFmtId="164"/>
    <dataField name="Average of CALC-Total Aero revenue - Emp" fld="12" subtotal="average" baseField="0" baseItem="16318464" numFmtId="44"/>
    <dataField name="Average of CALC - Total enplanements - Emp" fld="9" subtotal="average" baseField="0" baseItem="1" numFmtId="43"/>
    <dataField name="Average of CALC -Annual aircraft operations - 20153 - Emp" fld="10" subtotal="average" baseField="0" baseItem="1" numFmtId="2"/>
    <dataField name="Average of CALC -Total Non Aero Revenue - Emp" fld="11" subtotal="average" baseField="0" baseItem="1" numFmtId="44"/>
    <dataField name="Average of CALC -Annual aircraft operations - Exp" fld="14" subtotal="average" baseField="0" baseItem="1" numFmtId="167"/>
    <dataField name="Average of CALC-Total Non Aero Revenue - Exp" fld="15" subtotal="average" baseField="0" baseItem="1" numFmtId="44"/>
    <dataField name="Average of CALC-Total Aero revenue - Exp" fld="16" subtotal="average" baseField="0" baseItem="1" numFmtId="44"/>
  </dataFields>
  <formats count="10">
    <format dxfId="37">
      <pivotArea outline="0" collapsedLevelsAreSubtotals="1" fieldPosition="0">
        <references count="1">
          <reference field="4294967294" count="2" selected="0">
            <x v="3"/>
            <x v="4"/>
          </reference>
        </references>
      </pivotArea>
    </format>
    <format dxfId="36">
      <pivotArea outline="0" collapsedLevelsAreSubtotals="1" fieldPosition="0">
        <references count="1">
          <reference field="4294967294" count="1" selected="0">
            <x v="4"/>
          </reference>
        </references>
      </pivotArea>
    </format>
    <format dxfId="35">
      <pivotArea outline="0" collapsedLevelsAreSubtotals="1" fieldPosition="0">
        <references count="1">
          <reference field="4294967294" count="1" selected="0">
            <x v="5"/>
          </reference>
        </references>
      </pivotArea>
    </format>
    <format dxfId="34">
      <pivotArea outline="0" collapsedLevelsAreSubtotals="1" fieldPosition="0">
        <references count="1">
          <reference field="4294967294" count="1" selected="0">
            <x v="0"/>
          </reference>
        </references>
      </pivotArea>
    </format>
    <format dxfId="33">
      <pivotArea outline="0" collapsedLevelsAreSubtotals="1" fieldPosition="0">
        <references count="1">
          <reference field="4294967294" count="1" selected="0">
            <x v="7"/>
          </reference>
        </references>
      </pivotArea>
    </format>
    <format dxfId="32">
      <pivotArea outline="0" collapsedLevelsAreSubtotals="1" fieldPosition="0">
        <references count="1">
          <reference field="4294967294" count="1" selected="0">
            <x v="6"/>
          </reference>
        </references>
      </pivotArea>
    </format>
    <format dxfId="31">
      <pivotArea outline="0" fieldPosition="0">
        <references count="1">
          <reference field="4294967294" count="1" selected="0">
            <x v="1"/>
          </reference>
        </references>
      </pivotArea>
    </format>
    <format dxfId="30">
      <pivotArea outline="0" fieldPosition="0">
        <references count="1">
          <reference field="4294967294" count="1" selected="0">
            <x v="2"/>
          </reference>
        </references>
      </pivotArea>
    </format>
    <format dxfId="29">
      <pivotArea outline="0" collapsedLevelsAreSubtotals="1" fieldPosition="0"/>
    </format>
    <format dxfId="28">
      <pivotArea dataOnly="0" labelOnly="1" outline="0" fieldPosition="0">
        <references count="1">
          <reference field="4294967294" count="8">
            <x v="0"/>
            <x v="1"/>
            <x v="2"/>
            <x v="3"/>
            <x v="4"/>
            <x v="5"/>
            <x v="6"/>
            <x v="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A__100M" xr10:uid="{933C091E-F3A5-4AA2-B42F-A3C10BA65014}" sourceName="DEA&gt;=100M">
  <pivotTables>
    <pivotTable tabId="11" name="PivotTable5"/>
    <pivotTable tabId="11" name="PivotTable6"/>
  </pivotTables>
  <data>
    <tabular pivotCacheId="122476693">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irport" xr10:uid="{492CD95C-8EAB-4197-AFAF-E480E6B9936A}" sourceName="Airport">
  <pivotTables>
    <pivotTable tabId="11" name="PivotTable6"/>
  </pivotTables>
  <data>
    <tabular pivotCacheId="122476693">
      <items count="89">
        <i x="0"/>
        <i x="1"/>
        <i x="2"/>
        <i x="3"/>
        <i x="5"/>
        <i x="6"/>
        <i x="7"/>
        <i x="8"/>
        <i x="9"/>
        <i x="10"/>
        <i x="14"/>
        <i x="15"/>
        <i x="16"/>
        <i x="18"/>
        <i x="21"/>
        <i x="22"/>
        <i x="25"/>
        <i x="27"/>
        <i x="28"/>
        <i x="31"/>
        <i x="32"/>
        <i x="33"/>
        <i x="34"/>
        <i x="36"/>
        <i x="37"/>
        <i x="38"/>
        <i x="40"/>
        <i x="41"/>
        <i x="42"/>
        <i x="43"/>
        <i x="45"/>
        <i x="47"/>
        <i x="48"/>
        <i x="51"/>
        <i x="52"/>
        <i x="53"/>
        <i x="54"/>
        <i x="56" s="1"/>
        <i x="58"/>
        <i x="62"/>
        <i x="63"/>
        <i x="64"/>
        <i x="65"/>
        <i x="66"/>
        <i x="67"/>
        <i x="68"/>
        <i x="70"/>
        <i x="71"/>
        <i x="72"/>
        <i x="75"/>
        <i x="76"/>
        <i x="77"/>
        <i x="79"/>
        <i x="80"/>
        <i x="82"/>
        <i x="83"/>
        <i x="84"/>
        <i x="86"/>
        <i x="87"/>
        <i x="88"/>
        <i x="4" nd="1"/>
        <i x="11" nd="1"/>
        <i x="12" nd="1"/>
        <i x="13" nd="1"/>
        <i x="17" nd="1"/>
        <i x="19" nd="1"/>
        <i x="20" nd="1"/>
        <i x="23" nd="1"/>
        <i x="24" nd="1"/>
        <i x="26" nd="1"/>
        <i x="29" nd="1"/>
        <i x="30" nd="1"/>
        <i x="35" nd="1"/>
        <i x="39" nd="1"/>
        <i x="44" nd="1"/>
        <i x="46" nd="1"/>
        <i x="49" nd="1"/>
        <i x="50" nd="1"/>
        <i x="55" nd="1"/>
        <i x="57" nd="1"/>
        <i x="59" nd="1"/>
        <i x="60" nd="1"/>
        <i x="61" nd="1"/>
        <i x="69" nd="1"/>
        <i x="73" nd="1"/>
        <i x="74" nd="1"/>
        <i x="78" nd="1"/>
        <i x="81" nd="1"/>
        <i x="8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A&gt;=100M" xr10:uid="{4D2CC3BA-759C-4099-B83F-C8D9A8A711F0}" cache="Slicer_DEA__100M" caption="DEA&gt;=100M" rowHeight="220133"/>
  <slicer name="Airport" xr10:uid="{0CA286EE-EFA4-42A1-B739-5012FF0E0CAE}" cache="Slicer_Airport" caption="Airport" startItem="34"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BD3C86D-58D1-4A2B-9ED4-E0ECADFF6AC4}" name="Table1" displayName="Table1" ref="B2:R91" totalsRowShown="0" headerRowDxfId="17" dataDxfId="16" headerRowCellStyle="Percent" dataCellStyle="Currency">
  <autoFilter ref="B2:R91" xr:uid="{1664C850-AF1F-42F4-91F3-F9C371550449}"/>
  <sortState xmlns:xlrd2="http://schemas.microsoft.com/office/spreadsheetml/2017/richdata2" ref="B3:R91">
    <sortCondition ref="B2:B91"/>
  </sortState>
  <tableColumns count="17">
    <tableColumn id="1" xr3:uid="{1D7F84A7-BDCE-457D-AECB-730270A4C196}" name="Airport"/>
    <tableColumn id="2" xr3:uid="{549A78C0-BEBF-4BEC-8100-D66C087D0C0B}" name="Airport Code" dataDxfId="15"/>
    <tableColumn id="3" xr3:uid="{30D5DF10-C893-446D-9CED-52A4A5947E79}" name="Employees - 2015" dataDxfId="14" dataCellStyle="Comma"/>
    <tableColumn id="4" xr3:uid="{A3A463D3-9BB9-4392-8C56-FF9B6A1A6D91}" name="TOTAL OPERATING EXPENSES - 2015" dataDxfId="13" dataCellStyle="Currency"/>
    <tableColumn id="5" xr3:uid="{A1DCAEDD-F9AD-43D6-84EF-2D2D746106EF}" name="Total enplanements - 2015" dataDxfId="12" dataCellStyle="Comma"/>
    <tableColumn id="6" xr3:uid="{8700DF92-6B9A-4DC7-9A9E-E20E84ED820F}" name="Annual aircraft operations - 2015" dataDxfId="11" dataCellStyle="Currency"/>
    <tableColumn id="7" xr3:uid="{623254AA-A5BA-4A63-803B-096B19203490}" name="Total Non Aero Revenue" dataDxfId="10" dataCellStyle="Currency"/>
    <tableColumn id="8" xr3:uid="{6EF7EA6E-A6DC-42C4-8E01-250ADBB9B0A8}" name="Total Aero revenue - 2015" dataDxfId="9" dataCellStyle="Currency"/>
    <tableColumn id="9" xr3:uid="{073DD2F7-13B9-47C2-962B-56E001774D45}" name="Calc - expense level" dataDxfId="8" dataCellStyle="Currency">
      <calculatedColumnFormula>IF(Table1[[#This Row],[TOTAL OPERATING EXPENSES - 2015]]&gt;100000000,"yes","no")</calculatedColumnFormula>
    </tableColumn>
    <tableColumn id="10" xr3:uid="{BB8A592E-AF47-43FC-A8F1-A7422FEF41C2}" name="CALC - Total enplanements - Emp" dataDxfId="7" dataCellStyle="Currency">
      <calculatedColumnFormula>Table1[[#This Row],[Total enplanements - 2015]]/Table1[[Employees - 2015]:[Employees - 2015]]</calculatedColumnFormula>
    </tableColumn>
    <tableColumn id="12" xr3:uid="{A925BFC3-4417-46C9-B4D6-065873882FE3}" name="CALC -Annual aircraft operations - 20153 - Emp" dataDxfId="6" dataCellStyle="Currency">
      <calculatedColumnFormula>Table1[[#This Row],[Annual aircraft operations - 2015]]/Table1[[Employees - 2015]:[Employees - 2015]]</calculatedColumnFormula>
    </tableColumn>
    <tableColumn id="13" xr3:uid="{BBA827EF-A4CE-4E99-AA31-3FC0F30369B8}" name="CALC -Total Non Aero Revenue - Emp" dataDxfId="5" dataCellStyle="Currency">
      <calculatedColumnFormula>Table1[[#This Row],[Total Non Aero Revenue]]/Table1[[Employees - 2015]:[Employees - 2015]]</calculatedColumnFormula>
    </tableColumn>
    <tableColumn id="14" xr3:uid="{CD992149-CE01-404B-AB40-FD3E8174F29A}" name="CALC-Total Aero revenue - Emp" dataDxfId="4" dataCellStyle="Currency">
      <calculatedColumnFormula>Table1[[#This Row],[Total Aero revenue - 2015]]/Table1[[Employees - 2015]:[Employees - 2015]]</calculatedColumnFormula>
    </tableColumn>
    <tableColumn id="15" xr3:uid="{43790DD7-B195-474B-B593-A6B1F3891E31}" name="CALC -Total enplanements - Exp" dataDxfId="3" dataCellStyle="Currency">
      <calculatedColumnFormula>Table1[[#This Row],[Total enplanements - 2015]]/Table1[[TOTAL OPERATING EXPENSES - 2015]:[TOTAL OPERATING EXPENSES - 2015]]</calculatedColumnFormula>
    </tableColumn>
    <tableColumn id="16" xr3:uid="{AC9842E8-FC74-4D77-A2F4-2E8EBDAB561A}" name="CALC -Annual aircraft operations - Exp" dataDxfId="2" dataCellStyle="Currency">
      <calculatedColumnFormula>Table1[[#This Row],[Annual aircraft operations - 2015]]/Table1[[TOTAL OPERATING EXPENSES - 2015]:[TOTAL OPERATING EXPENSES - 2015]]</calculatedColumnFormula>
    </tableColumn>
    <tableColumn id="17" xr3:uid="{444A3708-CF69-4BC1-978C-A27DB1E3961E}" name="CALC-Total Non Aero Revenue - Exp" dataDxfId="1" dataCellStyle="Currency">
      <calculatedColumnFormula>Table1[[#This Row],[Total Non Aero Revenue]]/Table1[[TOTAL OPERATING EXPENSES - 2015]:[TOTAL OPERATING EXPENSES - 2015]]</calculatedColumnFormula>
    </tableColumn>
    <tableColumn id="18" xr3:uid="{BDECD7C9-F2B9-4D3A-8941-D93DCDF765B3}" name="CALC-Total Aero revenue - Exp" dataDxfId="0" dataCellStyle="Currency">
      <calculatedColumnFormula>Table1[[#This Row],[Total Aero revenue - 2015]]/Table1[[TOTAL OPERATING EXPENSES - 2015]:[TOTAL OPERATING EXPENSES - 2015]]</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fitToPage="1"/>
  </sheetPr>
  <dimension ref="A1:AL110"/>
  <sheetViews>
    <sheetView showGridLines="0" tabSelected="1" topLeftCell="A17" zoomScale="77" zoomScaleNormal="77" workbookViewId="0">
      <selection activeCell="K42" sqref="K42"/>
    </sheetView>
  </sheetViews>
  <sheetFormatPr defaultColWidth="0" defaultRowHeight="15.75" outlineLevelRow="1" x14ac:dyDescent="0.25"/>
  <cols>
    <col min="1" max="2" width="4.42578125" style="2" customWidth="1"/>
    <col min="3" max="3" width="4.85546875" style="2" customWidth="1"/>
    <col min="4" max="4" width="13.42578125" style="2" customWidth="1"/>
    <col min="5" max="5" width="46" style="2" customWidth="1"/>
    <col min="6" max="6" width="17.7109375" style="2" customWidth="1"/>
    <col min="7" max="7" width="20" style="2" customWidth="1"/>
    <col min="8" max="8" width="23.5703125" style="2" customWidth="1"/>
    <col min="9" max="9" width="18.42578125" style="2" customWidth="1"/>
    <col min="10" max="34" width="17.7109375" style="2" customWidth="1"/>
    <col min="35" max="35" width="13.140625" style="2" customWidth="1"/>
    <col min="36" max="36" width="10.42578125" style="2" customWidth="1"/>
    <col min="37" max="38" width="9.140625" style="2" customWidth="1"/>
    <col min="39" max="16384" width="9.140625" style="2" hidden="1"/>
  </cols>
  <sheetData>
    <row r="1" spans="1:38" ht="15.75" customHeight="1" x14ac:dyDescent="0.4">
      <c r="A1" s="135" t="s">
        <v>346</v>
      </c>
      <c r="B1" s="135"/>
      <c r="C1" s="135"/>
      <c r="D1" s="135"/>
      <c r="E1" s="135"/>
      <c r="F1" s="135"/>
      <c r="G1" s="135"/>
      <c r="H1" s="135"/>
      <c r="I1" s="135"/>
      <c r="J1" s="135"/>
      <c r="K1" s="121"/>
      <c r="L1" s="121"/>
      <c r="M1" s="121"/>
    </row>
    <row r="2" spans="1:38" ht="15.75" customHeight="1" x14ac:dyDescent="0.4">
      <c r="A2" s="135"/>
      <c r="B2" s="135"/>
      <c r="C2" s="135"/>
      <c r="D2" s="135"/>
      <c r="E2" s="135"/>
      <c r="F2" s="135"/>
      <c r="G2" s="135"/>
      <c r="H2" s="135"/>
      <c r="I2" s="135"/>
      <c r="J2" s="135"/>
      <c r="K2" s="121"/>
      <c r="L2" s="121"/>
      <c r="M2" s="121"/>
    </row>
    <row r="3" spans="1:38" ht="15.75" customHeight="1" x14ac:dyDescent="0.4">
      <c r="A3" s="2" t="s">
        <v>340</v>
      </c>
      <c r="B3" s="121"/>
      <c r="C3" s="121"/>
      <c r="D3" s="121"/>
      <c r="E3" s="121"/>
      <c r="F3" s="121"/>
      <c r="G3" s="121"/>
      <c r="H3" s="121"/>
      <c r="I3" s="121"/>
      <c r="J3" s="121"/>
      <c r="K3" s="121"/>
      <c r="L3" s="121"/>
      <c r="M3" s="121"/>
    </row>
    <row r="4" spans="1:38" ht="3" customHeight="1" x14ac:dyDescent="0.25">
      <c r="A4" s="108"/>
      <c r="B4" s="108"/>
      <c r="C4" s="108"/>
      <c r="D4" s="108"/>
      <c r="E4" s="108"/>
      <c r="F4" s="108"/>
      <c r="G4" s="108"/>
      <c r="H4" s="108"/>
      <c r="I4" s="108"/>
      <c r="J4" s="108"/>
      <c r="K4" s="108"/>
      <c r="L4" s="108"/>
      <c r="M4" s="108"/>
      <c r="N4" s="108"/>
      <c r="O4" s="108"/>
      <c r="P4" s="108"/>
      <c r="Q4" s="108"/>
      <c r="R4" s="108"/>
      <c r="S4" s="108"/>
      <c r="T4" s="108"/>
      <c r="U4" s="108"/>
      <c r="V4" s="108"/>
      <c r="W4" s="108"/>
      <c r="X4" s="108"/>
      <c r="Y4" s="108"/>
      <c r="Z4" s="108"/>
      <c r="AA4" s="108"/>
      <c r="AB4" s="108"/>
      <c r="AC4" s="108"/>
      <c r="AD4" s="108"/>
      <c r="AE4" s="108"/>
      <c r="AF4" s="108"/>
      <c r="AG4" s="108"/>
      <c r="AH4" s="108"/>
      <c r="AI4" s="108"/>
      <c r="AJ4" s="108"/>
      <c r="AK4" s="108"/>
      <c r="AL4"/>
    </row>
    <row r="6" spans="1:38" ht="15.75" customHeight="1" x14ac:dyDescent="0.25">
      <c r="B6" s="136" t="s">
        <v>343</v>
      </c>
      <c r="C6" s="136"/>
      <c r="D6" s="136"/>
      <c r="E6" s="136"/>
      <c r="F6" s="136"/>
      <c r="G6" s="136"/>
      <c r="H6" s="136"/>
      <c r="I6" s="136"/>
      <c r="J6" s="136"/>
      <c r="K6" s="136"/>
      <c r="L6" s="136"/>
      <c r="M6" s="136"/>
      <c r="N6" s="136"/>
      <c r="R6" s="2" t="s">
        <v>345</v>
      </c>
    </row>
    <row r="7" spans="1:38" ht="15.75" customHeight="1" x14ac:dyDescent="0.25">
      <c r="B7" s="136"/>
      <c r="C7" s="136"/>
      <c r="D7" s="136"/>
      <c r="E7" s="136"/>
      <c r="F7" s="136"/>
      <c r="G7" s="136"/>
      <c r="H7" s="136"/>
      <c r="I7" s="136"/>
      <c r="J7" s="136"/>
      <c r="K7" s="136"/>
      <c r="L7" s="136"/>
      <c r="M7" s="136"/>
      <c r="N7" s="136"/>
    </row>
    <row r="8" spans="1:38" ht="15.75" customHeight="1" x14ac:dyDescent="0.25">
      <c r="B8" s="136"/>
      <c r="C8" s="136"/>
      <c r="D8" s="136"/>
      <c r="E8" s="136"/>
      <c r="F8" s="136"/>
      <c r="G8" s="136"/>
      <c r="H8" s="136"/>
      <c r="I8" s="136"/>
      <c r="J8" s="136"/>
      <c r="K8" s="136"/>
      <c r="L8" s="136"/>
      <c r="M8" s="136"/>
      <c r="N8" s="136"/>
    </row>
    <row r="9" spans="1:38" ht="15.75" customHeight="1" x14ac:dyDescent="0.25">
      <c r="B9" s="136"/>
      <c r="C9" s="136"/>
      <c r="D9" s="136"/>
      <c r="E9" s="136"/>
      <c r="F9" s="136"/>
      <c r="G9" s="136"/>
      <c r="H9" s="136"/>
      <c r="I9" s="136"/>
      <c r="J9" s="136"/>
      <c r="K9" s="136"/>
      <c r="L9" s="136"/>
      <c r="M9" s="136"/>
      <c r="N9" s="136"/>
    </row>
    <row r="10" spans="1:38" x14ac:dyDescent="0.25">
      <c r="B10" s="136"/>
      <c r="C10" s="136"/>
      <c r="D10" s="136"/>
      <c r="E10" s="136"/>
      <c r="F10" s="136"/>
      <c r="G10" s="136"/>
      <c r="H10" s="136"/>
      <c r="I10" s="136"/>
      <c r="J10" s="136"/>
      <c r="K10" s="136"/>
      <c r="L10" s="136"/>
      <c r="M10" s="136"/>
      <c r="N10" s="136"/>
    </row>
    <row r="11" spans="1:38" x14ac:dyDescent="0.25">
      <c r="B11" s="136"/>
      <c r="C11" s="136"/>
      <c r="D11" s="136"/>
      <c r="E11" s="136"/>
      <c r="F11" s="136"/>
      <c r="G11" s="136"/>
      <c r="H11" s="136"/>
      <c r="I11" s="136"/>
      <c r="J11" s="136"/>
      <c r="K11" s="136"/>
      <c r="L11" s="136"/>
      <c r="M11" s="136"/>
      <c r="N11" s="136"/>
    </row>
    <row r="12" spans="1:38" ht="18.75" x14ac:dyDescent="0.3">
      <c r="B12" s="66" t="s">
        <v>347</v>
      </c>
    </row>
    <row r="17" spans="1:37" ht="18.75" x14ac:dyDescent="0.3">
      <c r="B17" s="66" t="s">
        <v>348</v>
      </c>
    </row>
    <row r="21" spans="1:37" x14ac:dyDescent="0.25">
      <c r="A21" s="2" t="s">
        <v>338</v>
      </c>
    </row>
    <row r="22" spans="1:37" ht="3" customHeight="1" x14ac:dyDescent="0.25">
      <c r="A22" s="108"/>
      <c r="B22" s="108"/>
      <c r="C22" s="108"/>
      <c r="D22" s="108"/>
      <c r="E22" s="108"/>
      <c r="F22" s="108"/>
      <c r="G22" s="108"/>
      <c r="H22" s="108"/>
      <c r="I22" s="108"/>
      <c r="J22" s="108"/>
      <c r="K22" s="108"/>
      <c r="L22" s="108"/>
      <c r="M22" s="108"/>
      <c r="N22" s="108"/>
      <c r="O22" s="108"/>
      <c r="P22" s="108"/>
      <c r="Q22" s="108"/>
      <c r="R22" s="108"/>
      <c r="S22" s="108"/>
      <c r="T22" s="108"/>
      <c r="U22" s="108"/>
      <c r="V22" s="108"/>
      <c r="W22" s="108"/>
      <c r="X22" s="108"/>
      <c r="Y22" s="108"/>
      <c r="Z22" s="108"/>
      <c r="AA22" s="108"/>
      <c r="AB22" s="108"/>
      <c r="AC22" s="108"/>
      <c r="AD22" s="108"/>
      <c r="AE22" s="108"/>
      <c r="AF22" s="108"/>
      <c r="AG22" s="108"/>
      <c r="AH22" s="108"/>
      <c r="AI22" s="108"/>
      <c r="AJ22" s="108"/>
      <c r="AK22" s="108"/>
    </row>
    <row r="23" spans="1:37" outlineLevel="1" x14ac:dyDescent="0.25">
      <c r="D23"/>
      <c r="E23"/>
    </row>
    <row r="24" spans="1:37" ht="18" customHeight="1" outlineLevel="1" x14ac:dyDescent="0.25">
      <c r="B24" s="64"/>
      <c r="C24" s="68" t="s">
        <v>330</v>
      </c>
      <c r="H24" s="145" t="s">
        <v>339</v>
      </c>
      <c r="I24" s="145"/>
      <c r="J24" s="68" t="s">
        <v>329</v>
      </c>
      <c r="K24" s="5" t="s">
        <v>342</v>
      </c>
    </row>
    <row r="25" spans="1:37" ht="16.5" customHeight="1" outlineLevel="1" x14ac:dyDescent="0.3">
      <c r="B25" s="70"/>
      <c r="C25" s="68" t="s">
        <v>335</v>
      </c>
      <c r="F25" s="144" t="s">
        <v>233</v>
      </c>
      <c r="G25" s="144"/>
      <c r="H25" s="143" t="s">
        <v>175</v>
      </c>
      <c r="I25" s="143"/>
      <c r="J25" s="129">
        <f>INDEX('DEA&gt;=$100M'!$A$2:$A$30,MATCH(H25,'DEA&gt;=$100M'!$C$2:$C$30,0))</f>
        <v>11</v>
      </c>
      <c r="K25" s="130">
        <f>AI41</f>
        <v>0.72697011046250692</v>
      </c>
    </row>
    <row r="26" spans="1:37" ht="20.25" outlineLevel="1" x14ac:dyDescent="0.3">
      <c r="E26" s="66"/>
      <c r="F26" s="67"/>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row>
    <row r="27" spans="1:37" outlineLevel="1" x14ac:dyDescent="0.25">
      <c r="E27" s="4"/>
      <c r="F27" s="72">
        <v>1</v>
      </c>
      <c r="G27" s="72">
        <v>2</v>
      </c>
      <c r="H27" s="72">
        <v>3</v>
      </c>
      <c r="I27" s="72">
        <v>4</v>
      </c>
      <c r="J27" s="72">
        <v>5</v>
      </c>
      <c r="K27" s="72">
        <v>6</v>
      </c>
      <c r="L27" s="72">
        <v>7</v>
      </c>
      <c r="M27" s="72">
        <v>8</v>
      </c>
      <c r="N27" s="72">
        <v>9</v>
      </c>
      <c r="O27" s="72">
        <v>10</v>
      </c>
      <c r="P27" s="72">
        <v>11</v>
      </c>
      <c r="Q27" s="72">
        <v>12</v>
      </c>
      <c r="R27" s="72">
        <v>13</v>
      </c>
      <c r="S27" s="72">
        <v>14</v>
      </c>
      <c r="T27" s="72">
        <v>15</v>
      </c>
      <c r="U27" s="72">
        <v>16</v>
      </c>
      <c r="V27" s="72">
        <v>17</v>
      </c>
      <c r="W27" s="72">
        <v>18</v>
      </c>
      <c r="X27" s="72">
        <v>19</v>
      </c>
      <c r="Y27" s="72">
        <v>20</v>
      </c>
      <c r="Z27" s="72">
        <v>21</v>
      </c>
      <c r="AA27" s="72">
        <v>22</v>
      </c>
      <c r="AB27" s="72">
        <v>23</v>
      </c>
      <c r="AC27" s="72">
        <v>24</v>
      </c>
      <c r="AD27" s="72">
        <v>25</v>
      </c>
      <c r="AE27" s="72">
        <v>26</v>
      </c>
      <c r="AF27" s="72">
        <v>27</v>
      </c>
      <c r="AG27" s="72">
        <v>28</v>
      </c>
      <c r="AH27" s="72">
        <v>29</v>
      </c>
    </row>
    <row r="28" spans="1:37" outlineLevel="1" x14ac:dyDescent="0.25">
      <c r="B28" s="137" t="s">
        <v>331</v>
      </c>
      <c r="C28" s="138"/>
      <c r="D28" s="138"/>
      <c r="E28" s="76" t="s">
        <v>13</v>
      </c>
      <c r="F28" s="77">
        <v>1301</v>
      </c>
      <c r="G28" s="77">
        <v>427</v>
      </c>
      <c r="H28" s="77">
        <v>3167</v>
      </c>
      <c r="I28" s="77">
        <v>1794</v>
      </c>
      <c r="J28" s="77">
        <v>383</v>
      </c>
      <c r="K28" s="77">
        <v>1275</v>
      </c>
      <c r="L28" s="77">
        <v>1192</v>
      </c>
      <c r="M28" s="77">
        <v>1415</v>
      </c>
      <c r="N28" s="77">
        <v>739</v>
      </c>
      <c r="O28" s="77">
        <v>290</v>
      </c>
      <c r="P28" s="77">
        <v>1045</v>
      </c>
      <c r="Q28" s="77">
        <v>1143</v>
      </c>
      <c r="R28" s="77">
        <v>827</v>
      </c>
      <c r="S28" s="77">
        <v>881</v>
      </c>
      <c r="T28" s="77">
        <v>624</v>
      </c>
      <c r="U28" s="77">
        <v>1307</v>
      </c>
      <c r="V28" s="77">
        <v>904</v>
      </c>
      <c r="W28" s="77">
        <v>951</v>
      </c>
      <c r="X28" s="77">
        <v>620</v>
      </c>
      <c r="Y28" s="77">
        <v>195</v>
      </c>
      <c r="Z28" s="77">
        <v>550</v>
      </c>
      <c r="AA28" s="77">
        <v>633</v>
      </c>
      <c r="AB28" s="77">
        <v>534</v>
      </c>
      <c r="AC28" s="77">
        <v>380</v>
      </c>
      <c r="AD28" s="77">
        <v>483</v>
      </c>
      <c r="AE28" s="77">
        <v>591</v>
      </c>
      <c r="AF28" s="77">
        <v>222</v>
      </c>
      <c r="AG28" s="77">
        <v>605</v>
      </c>
      <c r="AH28" s="78">
        <v>391</v>
      </c>
    </row>
    <row r="29" spans="1:37" outlineLevel="1" x14ac:dyDescent="0.25">
      <c r="B29" s="141"/>
      <c r="C29" s="142"/>
      <c r="D29" s="142"/>
      <c r="E29" s="74" t="s">
        <v>14</v>
      </c>
      <c r="F29" s="75">
        <v>805709978</v>
      </c>
      <c r="G29" s="75">
        <v>751249580</v>
      </c>
      <c r="H29" s="75">
        <v>645398203</v>
      </c>
      <c r="I29" s="75">
        <v>480681780</v>
      </c>
      <c r="J29" s="75">
        <v>474822448</v>
      </c>
      <c r="K29" s="75">
        <v>436802936</v>
      </c>
      <c r="L29" s="75">
        <v>425978315</v>
      </c>
      <c r="M29" s="75">
        <v>392882361</v>
      </c>
      <c r="N29" s="75">
        <v>293269231</v>
      </c>
      <c r="O29" s="75">
        <v>282788539</v>
      </c>
      <c r="P29" s="75">
        <v>271810046</v>
      </c>
      <c r="Q29" s="75">
        <v>268478717</v>
      </c>
      <c r="R29" s="75">
        <v>255649830</v>
      </c>
      <c r="S29" s="75">
        <v>238140134</v>
      </c>
      <c r="T29" s="75">
        <v>237766830</v>
      </c>
      <c r="U29" s="75">
        <v>227199370</v>
      </c>
      <c r="V29" s="75">
        <v>227118188</v>
      </c>
      <c r="W29" s="75">
        <v>221038717</v>
      </c>
      <c r="X29" s="75">
        <v>211338834</v>
      </c>
      <c r="Y29" s="75">
        <v>183875850</v>
      </c>
      <c r="Z29" s="75">
        <v>167556036</v>
      </c>
      <c r="AA29" s="75">
        <v>164795830</v>
      </c>
      <c r="AB29" s="75">
        <v>149343367</v>
      </c>
      <c r="AC29" s="75">
        <v>140249881</v>
      </c>
      <c r="AD29" s="75">
        <v>135915350</v>
      </c>
      <c r="AE29" s="75">
        <v>133266239</v>
      </c>
      <c r="AF29" s="75">
        <v>119466284</v>
      </c>
      <c r="AG29" s="75">
        <v>108171558</v>
      </c>
      <c r="AH29" s="79">
        <v>105277999</v>
      </c>
    </row>
    <row r="30" spans="1:37" outlineLevel="1" x14ac:dyDescent="0.25">
      <c r="F30" s="62"/>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62"/>
      <c r="AG30" s="62"/>
      <c r="AH30" s="62"/>
    </row>
    <row r="31" spans="1:37" outlineLevel="1" x14ac:dyDescent="0.25">
      <c r="E31" s="4"/>
      <c r="F31" s="72">
        <v>1</v>
      </c>
      <c r="G31" s="72">
        <v>2</v>
      </c>
      <c r="H31" s="72">
        <v>3</v>
      </c>
      <c r="I31" s="72">
        <v>4</v>
      </c>
      <c r="J31" s="72">
        <v>5</v>
      </c>
      <c r="K31" s="72">
        <v>6</v>
      </c>
      <c r="L31" s="72">
        <v>7</v>
      </c>
      <c r="M31" s="72">
        <v>8</v>
      </c>
      <c r="N31" s="72">
        <v>9</v>
      </c>
      <c r="O31" s="72">
        <v>10</v>
      </c>
      <c r="P31" s="72">
        <v>11</v>
      </c>
      <c r="Q31" s="72">
        <v>12</v>
      </c>
      <c r="R31" s="72">
        <v>13</v>
      </c>
      <c r="S31" s="72">
        <v>14</v>
      </c>
      <c r="T31" s="72">
        <v>15</v>
      </c>
      <c r="U31" s="72">
        <v>16</v>
      </c>
      <c r="V31" s="72">
        <v>17</v>
      </c>
      <c r="W31" s="72">
        <v>18</v>
      </c>
      <c r="X31" s="72">
        <v>19</v>
      </c>
      <c r="Y31" s="72">
        <v>20</v>
      </c>
      <c r="Z31" s="72">
        <v>21</v>
      </c>
      <c r="AA31" s="72">
        <v>22</v>
      </c>
      <c r="AB31" s="72">
        <v>23</v>
      </c>
      <c r="AC31" s="72">
        <v>24</v>
      </c>
      <c r="AD31" s="72">
        <v>25</v>
      </c>
      <c r="AE31" s="72">
        <v>26</v>
      </c>
      <c r="AF31" s="72">
        <v>27</v>
      </c>
      <c r="AG31" s="72">
        <v>28</v>
      </c>
      <c r="AH31" s="72">
        <v>29</v>
      </c>
    </row>
    <row r="32" spans="1:37" outlineLevel="1" x14ac:dyDescent="0.25">
      <c r="B32" s="137" t="s">
        <v>332</v>
      </c>
      <c r="C32" s="138"/>
      <c r="D32" s="138"/>
      <c r="E32" s="76" t="s">
        <v>15</v>
      </c>
      <c r="F32" s="80">
        <v>38395905</v>
      </c>
      <c r="G32" s="80">
        <v>28314048</v>
      </c>
      <c r="H32" s="80">
        <v>36114325</v>
      </c>
      <c r="I32" s="80">
        <v>32455216</v>
      </c>
      <c r="J32" s="80">
        <v>18789673</v>
      </c>
      <c r="K32" s="80">
        <v>27018929</v>
      </c>
      <c r="L32" s="80">
        <v>21375095</v>
      </c>
      <c r="M32" s="80">
        <v>24023599</v>
      </c>
      <c r="N32" s="80">
        <v>16066807</v>
      </c>
      <c r="O32" s="80">
        <v>14237784</v>
      </c>
      <c r="P32" s="80">
        <v>15312738</v>
      </c>
      <c r="Q32" s="80">
        <v>49056316</v>
      </c>
      <c r="R32" s="80">
        <v>21488569</v>
      </c>
      <c r="S32" s="80">
        <v>21108756</v>
      </c>
      <c r="T32" s="80">
        <v>18827393</v>
      </c>
      <c r="U32" s="80">
        <v>21879137</v>
      </c>
      <c r="V32" s="80">
        <v>10713852</v>
      </c>
      <c r="W32" s="80">
        <v>20958555</v>
      </c>
      <c r="X32" s="80">
        <v>16443778</v>
      </c>
      <c r="Y32" s="80">
        <v>11118223</v>
      </c>
      <c r="Z32" s="80">
        <v>11412595</v>
      </c>
      <c r="AA32" s="80">
        <v>11495977</v>
      </c>
      <c r="AB32" s="80">
        <v>9707527</v>
      </c>
      <c r="AC32" s="80">
        <v>9713066</v>
      </c>
      <c r="AD32" s="80">
        <v>13214469</v>
      </c>
      <c r="AE32" s="80">
        <v>18273449</v>
      </c>
      <c r="AF32" s="80">
        <v>5374187</v>
      </c>
      <c r="AG32" s="80">
        <v>9263336</v>
      </c>
      <c r="AH32" s="81">
        <v>22190002</v>
      </c>
    </row>
    <row r="33" spans="2:35" outlineLevel="1" x14ac:dyDescent="0.25">
      <c r="B33" s="139"/>
      <c r="C33" s="140"/>
      <c r="D33" s="140"/>
      <c r="E33" s="20" t="s">
        <v>16</v>
      </c>
      <c r="F33" s="82">
        <v>875136</v>
      </c>
      <c r="G33" s="82">
        <v>438897</v>
      </c>
      <c r="H33" s="82">
        <v>642228</v>
      </c>
      <c r="I33" s="82">
        <v>671788</v>
      </c>
      <c r="J33" s="82">
        <v>415534</v>
      </c>
      <c r="K33" s="82">
        <v>547648</v>
      </c>
      <c r="L33" s="82">
        <v>405896</v>
      </c>
      <c r="M33" s="82">
        <v>428171</v>
      </c>
      <c r="N33" s="82">
        <v>363359</v>
      </c>
      <c r="O33" s="82">
        <v>360274</v>
      </c>
      <c r="P33" s="82">
        <v>487096</v>
      </c>
      <c r="Q33" s="82">
        <v>870381</v>
      </c>
      <c r="R33" s="82">
        <v>435937</v>
      </c>
      <c r="S33" s="82">
        <v>381408</v>
      </c>
      <c r="T33" s="82">
        <v>304892</v>
      </c>
      <c r="U33" s="82">
        <v>521559</v>
      </c>
      <c r="V33" s="82">
        <v>269070</v>
      </c>
      <c r="W33" s="82">
        <v>510134</v>
      </c>
      <c r="X33" s="82">
        <v>380160</v>
      </c>
      <c r="Y33" s="82">
        <v>253519</v>
      </c>
      <c r="Z33" s="82">
        <v>243255</v>
      </c>
      <c r="AA33" s="82">
        <v>292781</v>
      </c>
      <c r="AB33" s="82">
        <v>315474</v>
      </c>
      <c r="AC33" s="82">
        <v>195268</v>
      </c>
      <c r="AD33" s="82">
        <v>259168</v>
      </c>
      <c r="AE33" s="82">
        <v>404612</v>
      </c>
      <c r="AF33" s="82">
        <v>209183</v>
      </c>
      <c r="AG33" s="82">
        <v>189251</v>
      </c>
      <c r="AH33" s="83">
        <v>546456</v>
      </c>
    </row>
    <row r="34" spans="2:35" outlineLevel="1" x14ac:dyDescent="0.25">
      <c r="B34" s="139"/>
      <c r="C34" s="140"/>
      <c r="D34" s="140"/>
      <c r="E34" s="20" t="s">
        <v>17</v>
      </c>
      <c r="F34" s="84">
        <v>265093272</v>
      </c>
      <c r="G34" s="84">
        <v>314403249</v>
      </c>
      <c r="H34" s="84">
        <v>446924136</v>
      </c>
      <c r="I34" s="84">
        <v>367955881</v>
      </c>
      <c r="J34" s="84">
        <v>255322611</v>
      </c>
      <c r="K34" s="84">
        <v>326695033</v>
      </c>
      <c r="L34" s="84">
        <v>275371292</v>
      </c>
      <c r="M34" s="84">
        <v>356136299</v>
      </c>
      <c r="N34" s="84">
        <v>275676746</v>
      </c>
      <c r="O34" s="84">
        <v>97135155</v>
      </c>
      <c r="P34" s="84">
        <v>126133472</v>
      </c>
      <c r="Q34" s="84">
        <v>322766172</v>
      </c>
      <c r="R34" s="84">
        <v>243387644</v>
      </c>
      <c r="S34" s="84">
        <v>196843811</v>
      </c>
      <c r="T34" s="84">
        <v>266832335</v>
      </c>
      <c r="U34" s="84">
        <v>207292917</v>
      </c>
      <c r="V34" s="84">
        <v>187009228</v>
      </c>
      <c r="W34" s="84">
        <v>152012220</v>
      </c>
      <c r="X34" s="84">
        <v>144488684</v>
      </c>
      <c r="Y34" s="84">
        <v>66439280</v>
      </c>
      <c r="Z34" s="84">
        <v>84226589</v>
      </c>
      <c r="AA34" s="84">
        <v>130001210</v>
      </c>
      <c r="AB34" s="84">
        <v>94944300</v>
      </c>
      <c r="AC34" s="84">
        <v>96422734</v>
      </c>
      <c r="AD34" s="84">
        <v>139593955</v>
      </c>
      <c r="AE34" s="84">
        <v>169986376</v>
      </c>
      <c r="AF34" s="84">
        <v>69287645</v>
      </c>
      <c r="AG34" s="84">
        <v>136912489</v>
      </c>
      <c r="AH34" s="85">
        <v>107556265</v>
      </c>
    </row>
    <row r="35" spans="2:35" outlineLevel="1" x14ac:dyDescent="0.25">
      <c r="B35" s="141"/>
      <c r="C35" s="142"/>
      <c r="D35" s="142"/>
      <c r="E35" s="74" t="s">
        <v>18</v>
      </c>
      <c r="F35" s="86">
        <v>580135414</v>
      </c>
      <c r="G35" s="86">
        <v>889061242</v>
      </c>
      <c r="H35" s="86">
        <v>601771581</v>
      </c>
      <c r="I35" s="86">
        <v>311137815</v>
      </c>
      <c r="J35" s="86">
        <v>652396219</v>
      </c>
      <c r="K35" s="86">
        <v>360840720</v>
      </c>
      <c r="L35" s="86">
        <v>519011715</v>
      </c>
      <c r="M35" s="86">
        <v>459227411</v>
      </c>
      <c r="N35" s="86">
        <v>281218012</v>
      </c>
      <c r="O35" s="86">
        <v>279675769</v>
      </c>
      <c r="P35" s="86">
        <v>233357828</v>
      </c>
      <c r="Q35" s="86">
        <v>160255811</v>
      </c>
      <c r="R35" s="86">
        <v>137348133</v>
      </c>
      <c r="S35" s="86">
        <v>226048187</v>
      </c>
      <c r="T35" s="86">
        <v>161043847</v>
      </c>
      <c r="U35" s="86">
        <v>286995394</v>
      </c>
      <c r="V35" s="86">
        <v>281322422</v>
      </c>
      <c r="W35" s="86">
        <v>231003316</v>
      </c>
      <c r="X35" s="86">
        <v>168780125</v>
      </c>
      <c r="Y35" s="86">
        <v>109679926</v>
      </c>
      <c r="Z35" s="86">
        <v>131326458</v>
      </c>
      <c r="AA35" s="86">
        <v>157359887</v>
      </c>
      <c r="AB35" s="86">
        <v>118825467</v>
      </c>
      <c r="AC35" s="86">
        <v>114082513</v>
      </c>
      <c r="AD35" s="86">
        <v>74346608</v>
      </c>
      <c r="AE35" s="86">
        <v>125522924</v>
      </c>
      <c r="AF35" s="86">
        <v>93271475</v>
      </c>
      <c r="AG35" s="86">
        <v>57958021</v>
      </c>
      <c r="AH35" s="87">
        <v>86157727</v>
      </c>
    </row>
    <row r="36" spans="2:35" outlineLevel="1" x14ac:dyDescent="0.25"/>
    <row r="37" spans="2:35" outlineLevel="1" x14ac:dyDescent="0.25">
      <c r="F37" s="65"/>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65"/>
      <c r="AG37" s="65"/>
      <c r="AH37" s="65"/>
      <c r="AI37" s="8" t="s">
        <v>3</v>
      </c>
    </row>
    <row r="38" spans="2:35" ht="18.75" outlineLevel="1" x14ac:dyDescent="0.25">
      <c r="B38" s="137" t="s">
        <v>5</v>
      </c>
      <c r="C38" s="138"/>
      <c r="D38" s="138"/>
      <c r="E38" s="88" t="s">
        <v>2</v>
      </c>
      <c r="F38" s="89" t="s">
        <v>20</v>
      </c>
      <c r="G38" s="89" t="s">
        <v>21</v>
      </c>
      <c r="H38" s="89" t="s">
        <v>22</v>
      </c>
      <c r="I38" s="89" t="s">
        <v>23</v>
      </c>
      <c r="J38" s="89" t="s">
        <v>24</v>
      </c>
      <c r="K38" s="89" t="s">
        <v>25</v>
      </c>
      <c r="L38" s="89" t="s">
        <v>26</v>
      </c>
      <c r="M38" s="89" t="s">
        <v>27</v>
      </c>
      <c r="N38" s="89" t="s">
        <v>28</v>
      </c>
      <c r="O38" s="89" t="s">
        <v>29</v>
      </c>
      <c r="P38" s="89" t="s">
        <v>30</v>
      </c>
      <c r="Q38" s="89" t="s">
        <v>31</v>
      </c>
      <c r="R38" s="89" t="s">
        <v>32</v>
      </c>
      <c r="S38" s="89" t="s">
        <v>33</v>
      </c>
      <c r="T38" s="89" t="s">
        <v>34</v>
      </c>
      <c r="U38" s="89" t="s">
        <v>35</v>
      </c>
      <c r="V38" s="89" t="s">
        <v>36</v>
      </c>
      <c r="W38" s="89" t="s">
        <v>37</v>
      </c>
      <c r="X38" s="89" t="s">
        <v>38</v>
      </c>
      <c r="Y38" s="89" t="s">
        <v>39</v>
      </c>
      <c r="Z38" s="89" t="s">
        <v>40</v>
      </c>
      <c r="AA38" s="89" t="s">
        <v>41</v>
      </c>
      <c r="AB38" s="89" t="s">
        <v>42</v>
      </c>
      <c r="AC38" s="89" t="s">
        <v>43</v>
      </c>
      <c r="AD38" s="89" t="s">
        <v>44</v>
      </c>
      <c r="AE38" s="89" t="s">
        <v>45</v>
      </c>
      <c r="AF38" s="89" t="s">
        <v>46</v>
      </c>
      <c r="AG38" s="89" t="s">
        <v>47</v>
      </c>
      <c r="AH38" s="89" t="s">
        <v>48</v>
      </c>
      <c r="AI38" s="107" t="s">
        <v>4</v>
      </c>
    </row>
    <row r="39" spans="2:35" outlineLevel="1" x14ac:dyDescent="0.25">
      <c r="B39" s="141"/>
      <c r="C39" s="142"/>
      <c r="D39" s="142"/>
      <c r="E39" s="90" t="s">
        <v>333</v>
      </c>
      <c r="F39" s="91">
        <v>0</v>
      </c>
      <c r="G39" s="91">
        <v>0</v>
      </c>
      <c r="H39" s="91">
        <v>0</v>
      </c>
      <c r="I39" s="91">
        <v>0</v>
      </c>
      <c r="J39" s="91">
        <v>9.6573936863565774E-2</v>
      </c>
      <c r="K39" s="91">
        <v>0</v>
      </c>
      <c r="L39" s="91">
        <v>0</v>
      </c>
      <c r="M39" s="91">
        <v>0</v>
      </c>
      <c r="N39" s="91">
        <v>0</v>
      </c>
      <c r="O39" s="91">
        <v>0</v>
      </c>
      <c r="P39" s="91">
        <v>0</v>
      </c>
      <c r="Q39" s="91">
        <v>0</v>
      </c>
      <c r="R39" s="91">
        <v>0</v>
      </c>
      <c r="S39" s="91">
        <v>0</v>
      </c>
      <c r="T39" s="91">
        <v>0</v>
      </c>
      <c r="U39" s="91">
        <v>0.32537161264916065</v>
      </c>
      <c r="V39" s="91">
        <v>0.13921239715710976</v>
      </c>
      <c r="W39" s="91">
        <v>0</v>
      </c>
      <c r="X39" s="91">
        <v>0</v>
      </c>
      <c r="Y39" s="91">
        <v>0</v>
      </c>
      <c r="Z39" s="91">
        <v>0</v>
      </c>
      <c r="AA39" s="91">
        <v>0</v>
      </c>
      <c r="AB39" s="91">
        <v>0</v>
      </c>
      <c r="AC39" s="91">
        <v>0</v>
      </c>
      <c r="AD39" s="91">
        <v>0</v>
      </c>
      <c r="AE39" s="91">
        <v>0</v>
      </c>
      <c r="AF39" s="91">
        <v>0</v>
      </c>
      <c r="AG39" s="91">
        <v>0</v>
      </c>
      <c r="AH39" s="91">
        <v>0.43884205333016363</v>
      </c>
      <c r="AI39" s="92">
        <v>0.72697011046250692</v>
      </c>
    </row>
    <row r="40" spans="2:35" outlineLevel="1" x14ac:dyDescent="0.25"/>
    <row r="41" spans="2:35" outlineLevel="1" x14ac:dyDescent="0.25">
      <c r="I41" s="8"/>
      <c r="L41" s="8"/>
      <c r="M41" s="8"/>
      <c r="N41" s="8"/>
      <c r="O41" s="8"/>
      <c r="P41" s="8"/>
      <c r="Q41" s="8"/>
      <c r="R41" s="8"/>
      <c r="S41" s="8"/>
      <c r="T41" s="8"/>
      <c r="U41" s="8"/>
      <c r="V41" s="8"/>
      <c r="W41" s="8"/>
      <c r="X41" s="8"/>
      <c r="Y41" s="8"/>
      <c r="Z41" s="8"/>
      <c r="AA41" s="8"/>
      <c r="AB41" s="8"/>
      <c r="AC41" s="8"/>
      <c r="AD41" s="8"/>
      <c r="AE41" s="8"/>
      <c r="AF41" s="8"/>
      <c r="AG41" s="8"/>
      <c r="AH41" s="69" t="s">
        <v>8</v>
      </c>
      <c r="AI41" s="106">
        <f>AI39</f>
        <v>0.72697011046250692</v>
      </c>
    </row>
    <row r="42" spans="2:35" outlineLevel="1" x14ac:dyDescent="0.25">
      <c r="B42" s="93"/>
      <c r="C42" s="76"/>
      <c r="D42" s="76"/>
      <c r="E42" s="76"/>
      <c r="F42" s="94" t="s">
        <v>6</v>
      </c>
      <c r="G42" s="95"/>
      <c r="H42" s="94" t="s">
        <v>7</v>
      </c>
      <c r="I42" s="96"/>
      <c r="L42" s="8"/>
      <c r="M42" s="8"/>
      <c r="N42" s="8"/>
      <c r="O42" s="8"/>
      <c r="P42" s="8"/>
      <c r="Q42" s="8"/>
      <c r="R42" s="8"/>
      <c r="S42" s="8"/>
      <c r="T42" s="8"/>
      <c r="U42" s="8"/>
      <c r="V42" s="8"/>
      <c r="W42" s="8"/>
      <c r="X42" s="8"/>
      <c r="Y42" s="8"/>
      <c r="Z42" s="8"/>
      <c r="AA42" s="8"/>
      <c r="AB42" s="8"/>
      <c r="AC42" s="8"/>
      <c r="AD42" s="8"/>
      <c r="AE42" s="8"/>
      <c r="AF42" s="8"/>
      <c r="AG42" s="8"/>
      <c r="AH42" s="71"/>
      <c r="AI42"/>
    </row>
    <row r="43" spans="2:35" outlineLevel="1" x14ac:dyDescent="0.25">
      <c r="B43" s="139" t="s">
        <v>336</v>
      </c>
      <c r="C43" s="140"/>
      <c r="D43" s="140"/>
      <c r="E43" s="97" t="s">
        <v>328</v>
      </c>
      <c r="F43" s="125">
        <f>SUM(F39:AH39)</f>
        <v>0.99999999999999978</v>
      </c>
      <c r="G43" s="71" t="s">
        <v>10</v>
      </c>
      <c r="H43" s="127">
        <v>1</v>
      </c>
      <c r="I43" s="98" t="s">
        <v>337</v>
      </c>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row>
    <row r="44" spans="2:35" outlineLevel="1" x14ac:dyDescent="0.25">
      <c r="B44" s="139"/>
      <c r="C44" s="140"/>
      <c r="D44" s="140"/>
      <c r="E44" s="97" t="s">
        <v>15</v>
      </c>
      <c r="F44" s="125">
        <f>SUMPRODUCT(F32:AH32,$F$39:$AH$39)</f>
        <v>20162849.843837898</v>
      </c>
      <c r="G44" s="71" t="s">
        <v>11</v>
      </c>
      <c r="H44" s="128">
        <f>INDEX($F$32:$AH$35,1,MATCH($J$25,$F$31:$AH$31,0))</f>
        <v>15312738</v>
      </c>
      <c r="I44" s="99"/>
      <c r="J44" s="17"/>
      <c r="K44" s="17"/>
      <c r="L44" s="17"/>
      <c r="M44" s="17"/>
      <c r="N44" s="17"/>
      <c r="O44" s="17"/>
      <c r="P44" s="17"/>
      <c r="Q44" s="17"/>
      <c r="R44" s="17"/>
      <c r="S44" s="17"/>
      <c r="T44" s="17"/>
      <c r="U44" s="17"/>
      <c r="V44" s="17"/>
      <c r="W44" s="17"/>
      <c r="X44" s="17"/>
      <c r="Y44" s="17"/>
      <c r="Z44" s="17"/>
      <c r="AA44" s="17"/>
      <c r="AB44" s="17"/>
      <c r="AC44" s="17"/>
      <c r="AD44" s="17"/>
      <c r="AE44" s="16"/>
      <c r="AF44" s="16"/>
      <c r="AG44" s="16"/>
      <c r="AH44" s="16"/>
    </row>
    <row r="45" spans="2:35" outlineLevel="1" x14ac:dyDescent="0.25">
      <c r="B45" s="139"/>
      <c r="C45" s="140"/>
      <c r="D45" s="140"/>
      <c r="E45" s="97" t="s">
        <v>16</v>
      </c>
      <c r="F45" s="125">
        <f>SUMPRODUCT(F33:AH33,$F$39:$AH$39)</f>
        <v>487096</v>
      </c>
      <c r="G45" s="71" t="s">
        <v>11</v>
      </c>
      <c r="H45" s="128">
        <f>INDEX($F$32:$AH$35,2,MATCH($J$25,$F$31:$AH$31,0))</f>
        <v>487096</v>
      </c>
      <c r="I45" s="99"/>
      <c r="J45" s="17"/>
      <c r="K45" s="17"/>
      <c r="L45" s="17"/>
      <c r="M45" s="17"/>
      <c r="N45" s="17"/>
      <c r="O45" s="17"/>
      <c r="P45" s="17"/>
      <c r="Q45" s="17"/>
      <c r="R45" s="17"/>
      <c r="S45" s="17"/>
      <c r="T45" s="17"/>
      <c r="U45" s="17"/>
      <c r="V45" s="17"/>
      <c r="W45" s="17"/>
      <c r="X45" s="17"/>
      <c r="Y45" s="17"/>
      <c r="Z45" s="17"/>
      <c r="AA45" s="17"/>
      <c r="AB45" s="17"/>
      <c r="AC45" s="17"/>
      <c r="AD45" s="17"/>
      <c r="AE45" s="16"/>
      <c r="AF45" s="16"/>
      <c r="AG45" s="16"/>
      <c r="AH45" s="16"/>
    </row>
    <row r="46" spans="2:35" outlineLevel="1" x14ac:dyDescent="0.25">
      <c r="B46" s="139"/>
      <c r="C46" s="140"/>
      <c r="D46" s="140"/>
      <c r="E46" s="97" t="s">
        <v>17</v>
      </c>
      <c r="F46" s="125">
        <f>SUMPRODUCT(F34:AH34,$F$39:$AH$39)</f>
        <v>165338955.51109707</v>
      </c>
      <c r="G46" s="71" t="s">
        <v>11</v>
      </c>
      <c r="H46" s="128">
        <f>INDEX($F$32:$AH$35,3,MATCH($J$25,$F$31:$AH$31,0))</f>
        <v>126133472</v>
      </c>
      <c r="I46" s="100"/>
      <c r="J46" s="18"/>
      <c r="K46" s="18"/>
      <c r="L46" s="18"/>
      <c r="M46" s="18"/>
      <c r="N46" s="18"/>
      <c r="O46" s="18"/>
      <c r="P46" s="18"/>
      <c r="Q46" s="18"/>
      <c r="R46" s="18"/>
      <c r="S46" s="18"/>
      <c r="T46" s="18"/>
      <c r="U46" s="18"/>
      <c r="V46" s="18"/>
      <c r="W46" s="18"/>
      <c r="X46" s="18"/>
      <c r="Y46" s="18"/>
      <c r="Z46" s="18"/>
      <c r="AA46" s="18"/>
      <c r="AB46" s="18"/>
      <c r="AC46" s="18"/>
      <c r="AD46" s="18"/>
      <c r="AE46" s="16"/>
      <c r="AF46" s="16"/>
      <c r="AG46" s="16"/>
      <c r="AH46" s="16"/>
    </row>
    <row r="47" spans="2:35" outlineLevel="1" x14ac:dyDescent="0.25">
      <c r="B47" s="139"/>
      <c r="C47" s="140"/>
      <c r="D47" s="140"/>
      <c r="E47" s="97" t="s">
        <v>18</v>
      </c>
      <c r="F47" s="125">
        <f>SUMPRODUCT(F35:AH35,$F$39:$AH$39)</f>
        <v>233357827.99999997</v>
      </c>
      <c r="G47" s="71" t="s">
        <v>11</v>
      </c>
      <c r="H47" s="128">
        <f>INDEX($F$32:$AH$35,4,MATCH($J$25,$F$31:$AH$31,0))</f>
        <v>233357828</v>
      </c>
      <c r="I47" s="100"/>
      <c r="J47" s="18"/>
      <c r="K47" s="18"/>
      <c r="L47" s="18"/>
      <c r="M47" s="18"/>
      <c r="N47" s="18"/>
      <c r="O47" s="18"/>
      <c r="P47" s="18"/>
      <c r="Q47" s="18"/>
      <c r="R47" s="18"/>
      <c r="S47" s="18"/>
      <c r="T47" s="18"/>
      <c r="U47" s="18"/>
      <c r="V47" s="18"/>
      <c r="W47" s="18"/>
      <c r="X47" s="18"/>
      <c r="Y47" s="18"/>
      <c r="Z47" s="18"/>
      <c r="AA47" s="18"/>
      <c r="AB47" s="18"/>
      <c r="AC47" s="18"/>
      <c r="AD47" s="18"/>
      <c r="AE47" s="16"/>
      <c r="AF47" s="16"/>
      <c r="AG47" s="16"/>
      <c r="AH47" s="16"/>
    </row>
    <row r="48" spans="2:35" outlineLevel="1" x14ac:dyDescent="0.25">
      <c r="B48" s="139"/>
      <c r="C48" s="140"/>
      <c r="D48" s="140"/>
      <c r="E48" s="97" t="s">
        <v>13</v>
      </c>
      <c r="F48" s="125">
        <f>SUMPRODUCT(F28:AH28,$F$39:$AH$39)</f>
        <v>759.68376543331976</v>
      </c>
      <c r="G48" s="71" t="s">
        <v>12</v>
      </c>
      <c r="H48" s="128">
        <f>INDEX($F$28:$AH$29,1,MATCH($J$25,$F$27:$AH$27,0))*AI39</f>
        <v>759.68376543331976</v>
      </c>
      <c r="I48" s="98"/>
      <c r="J48" s="16"/>
      <c r="K48" s="16"/>
      <c r="L48" s="16"/>
      <c r="M48" s="16"/>
      <c r="N48" s="16"/>
      <c r="O48" s="16"/>
      <c r="P48" s="16"/>
      <c r="Q48" s="16"/>
      <c r="R48" s="16"/>
      <c r="S48" s="16"/>
      <c r="T48" s="16"/>
      <c r="U48" s="16"/>
      <c r="V48" s="16"/>
      <c r="W48" s="16"/>
      <c r="X48" s="16"/>
      <c r="Y48" s="16"/>
      <c r="Z48" s="16"/>
      <c r="AA48" s="16"/>
      <c r="AB48" s="16"/>
      <c r="AC48" s="16"/>
      <c r="AD48" s="16"/>
      <c r="AE48" s="16"/>
      <c r="AF48" s="16"/>
      <c r="AG48" s="16"/>
      <c r="AH48" s="16"/>
    </row>
    <row r="49" spans="1:37" outlineLevel="1" x14ac:dyDescent="0.25">
      <c r="B49" s="139"/>
      <c r="C49" s="140"/>
      <c r="D49" s="140"/>
      <c r="E49" s="97" t="s">
        <v>14</v>
      </c>
      <c r="F49" s="125">
        <f>SUMPRODUCT(F29:AH29,$F$39:$AH$39)</f>
        <v>197597779.16543913</v>
      </c>
      <c r="G49" s="71" t="s">
        <v>12</v>
      </c>
      <c r="H49" s="128">
        <f>INDEX($F$28:$AH$29,2,MATCH($J$25,$F$27:$AH$27,0))*AI39</f>
        <v>197597779.1654391</v>
      </c>
      <c r="I49" s="98"/>
      <c r="J49" s="16"/>
      <c r="K49" s="16"/>
      <c r="L49" s="16"/>
      <c r="M49" s="16"/>
      <c r="N49" s="16"/>
      <c r="O49" s="16"/>
      <c r="P49" s="16"/>
      <c r="Q49" s="16"/>
      <c r="R49" s="16"/>
      <c r="S49" s="16"/>
      <c r="T49" s="16"/>
      <c r="U49" s="16"/>
      <c r="V49" s="16"/>
      <c r="W49" s="16"/>
      <c r="X49" s="16"/>
      <c r="Y49" s="16"/>
      <c r="Z49" s="16"/>
      <c r="AA49" s="16"/>
      <c r="AB49" s="16"/>
      <c r="AC49" s="16"/>
      <c r="AD49" s="16"/>
      <c r="AE49" s="16"/>
      <c r="AF49" s="16"/>
      <c r="AG49" s="16"/>
      <c r="AH49" s="16"/>
    </row>
    <row r="50" spans="1:37" outlineLevel="1" x14ac:dyDescent="0.25">
      <c r="B50" s="101"/>
      <c r="C50" s="74"/>
      <c r="D50" s="74"/>
      <c r="E50" s="74"/>
      <c r="F50" s="74"/>
      <c r="G50" s="74"/>
      <c r="H50" s="74"/>
      <c r="I50" s="102"/>
      <c r="J50" s="16"/>
      <c r="K50" s="16"/>
      <c r="L50" s="16"/>
      <c r="M50" s="16"/>
      <c r="N50" s="16"/>
      <c r="O50" s="16"/>
      <c r="P50" s="16"/>
      <c r="Q50" s="16"/>
      <c r="R50" s="16"/>
      <c r="S50" s="16"/>
      <c r="T50" s="16"/>
      <c r="U50" s="16"/>
      <c r="V50" s="16"/>
      <c r="W50" s="16"/>
      <c r="X50" s="16"/>
      <c r="Y50" s="16"/>
      <c r="Z50" s="16"/>
      <c r="AA50" s="16"/>
      <c r="AB50" s="16"/>
      <c r="AC50" s="16"/>
      <c r="AD50" s="16"/>
      <c r="AE50" s="16"/>
      <c r="AF50" s="16"/>
      <c r="AG50" s="16"/>
      <c r="AH50" s="16"/>
    </row>
    <row r="51" spans="1:37" ht="12" customHeight="1" outlineLevel="1" x14ac:dyDescent="0.25">
      <c r="B51" s="20"/>
      <c r="C51" s="20"/>
      <c r="D51" s="20"/>
      <c r="E51" s="20"/>
      <c r="F51" s="20"/>
      <c r="G51" s="20"/>
      <c r="H51" s="20"/>
      <c r="I51" s="120"/>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row>
    <row r="52" spans="1:37" x14ac:dyDescent="0.25">
      <c r="A52" s="2" t="s">
        <v>341</v>
      </c>
    </row>
    <row r="53" spans="1:37" ht="3" customHeight="1" x14ac:dyDescent="0.25">
      <c r="A53" s="108"/>
      <c r="B53" s="108"/>
      <c r="C53" s="108"/>
      <c r="D53" s="108"/>
      <c r="E53" s="108"/>
      <c r="F53" s="108"/>
      <c r="G53" s="108"/>
      <c r="H53" s="108"/>
      <c r="I53" s="108"/>
      <c r="J53" s="108"/>
      <c r="K53" s="108"/>
      <c r="L53" s="108"/>
      <c r="M53" s="108"/>
      <c r="N53" s="108"/>
      <c r="O53" s="108"/>
      <c r="P53" s="108"/>
      <c r="Q53" s="108"/>
      <c r="R53" s="108"/>
      <c r="S53" s="108"/>
      <c r="T53" s="108"/>
      <c r="U53" s="108"/>
      <c r="V53" s="108"/>
      <c r="W53" s="108"/>
      <c r="X53" s="108"/>
      <c r="Y53" s="108"/>
      <c r="Z53" s="108"/>
      <c r="AA53" s="108"/>
      <c r="AB53" s="108"/>
      <c r="AC53" s="108"/>
      <c r="AD53" s="108"/>
      <c r="AE53" s="108"/>
      <c r="AF53" s="108"/>
      <c r="AG53" s="108"/>
      <c r="AH53" s="108"/>
      <c r="AI53" s="108"/>
      <c r="AJ53" s="108"/>
      <c r="AK53" s="108"/>
    </row>
    <row r="54" spans="1:37" s="16" customFormat="1" ht="7.5" customHeight="1" outlineLevel="1" x14ac:dyDescent="0.25"/>
    <row r="55" spans="1:37" outlineLevel="1" x14ac:dyDescent="0.25">
      <c r="B55" s="93"/>
      <c r="C55" s="76"/>
      <c r="D55" s="76"/>
      <c r="E55" s="76"/>
      <c r="F55" s="76"/>
      <c r="G55" s="76"/>
      <c r="H55" s="76"/>
      <c r="I55" s="76"/>
      <c r="J55" s="76"/>
      <c r="K55" s="76"/>
      <c r="L55" s="109"/>
    </row>
    <row r="56" spans="1:37" outlineLevel="1" x14ac:dyDescent="0.25">
      <c r="B56" s="110"/>
      <c r="C56" s="20"/>
      <c r="D56" s="20"/>
      <c r="E56" s="105" t="s">
        <v>19</v>
      </c>
      <c r="F56" s="105" t="s">
        <v>3</v>
      </c>
      <c r="G56" s="111"/>
      <c r="H56" s="111"/>
      <c r="I56" s="20"/>
      <c r="J56" s="20"/>
      <c r="K56" s="20"/>
      <c r="L56" s="112"/>
    </row>
    <row r="57" spans="1:37" outlineLevel="1" x14ac:dyDescent="0.25">
      <c r="B57" s="113"/>
      <c r="C57" s="111"/>
      <c r="D57" s="111"/>
      <c r="E57" s="123" t="s">
        <v>175</v>
      </c>
      <c r="F57" s="124">
        <v>0.72699999999999998</v>
      </c>
      <c r="G57" s="20"/>
      <c r="H57" s="133" t="s">
        <v>241</v>
      </c>
      <c r="I57" s="133"/>
      <c r="J57" s="20"/>
      <c r="K57" s="20"/>
      <c r="L57" s="112"/>
    </row>
    <row r="58" spans="1:37" outlineLevel="1" x14ac:dyDescent="0.25">
      <c r="B58" s="113"/>
      <c r="C58" s="111"/>
      <c r="D58" s="111"/>
      <c r="E58" s="123" t="s">
        <v>95</v>
      </c>
      <c r="F58" s="124">
        <v>0.755</v>
      </c>
      <c r="G58" s="20"/>
      <c r="H58" s="118" t="s">
        <v>238</v>
      </c>
      <c r="I58" s="118" t="s">
        <v>239</v>
      </c>
      <c r="J58" s="20"/>
      <c r="K58" s="20"/>
      <c r="L58" s="112"/>
    </row>
    <row r="59" spans="1:37" outlineLevel="1" x14ac:dyDescent="0.25">
      <c r="B59" s="113"/>
      <c r="C59" s="111"/>
      <c r="D59" s="111"/>
      <c r="E59" s="123" t="s">
        <v>63</v>
      </c>
      <c r="F59" s="124">
        <v>0.80100000000000005</v>
      </c>
      <c r="G59" s="20"/>
      <c r="H59" s="73" t="s">
        <v>235</v>
      </c>
      <c r="I59" s="126">
        <f>COUNTIF(F57:F85,1)</f>
        <v>15</v>
      </c>
      <c r="J59" s="20"/>
      <c r="K59" s="20"/>
      <c r="L59" s="112"/>
    </row>
    <row r="60" spans="1:37" outlineLevel="1" x14ac:dyDescent="0.25">
      <c r="B60" s="113"/>
      <c r="C60" s="111"/>
      <c r="D60" s="111"/>
      <c r="E60" s="123" t="s">
        <v>177</v>
      </c>
      <c r="F60" s="124">
        <v>0.82499999999999996</v>
      </c>
      <c r="G60" s="20"/>
      <c r="H60" s="73" t="s">
        <v>236</v>
      </c>
      <c r="I60" s="126">
        <f>COUNTA(E57:E85)-I59</f>
        <v>14</v>
      </c>
      <c r="J60" s="20"/>
      <c r="K60" s="20"/>
      <c r="L60" s="112"/>
    </row>
    <row r="61" spans="1:37" outlineLevel="1" x14ac:dyDescent="0.25">
      <c r="B61" s="113"/>
      <c r="C61" s="111"/>
      <c r="D61" s="111"/>
      <c r="E61" s="123" t="s">
        <v>115</v>
      </c>
      <c r="F61" s="124">
        <v>0.84299999999999997</v>
      </c>
      <c r="G61" s="20"/>
      <c r="H61" s="119" t="s">
        <v>240</v>
      </c>
      <c r="I61" s="126">
        <f>SUM(I59:I60)</f>
        <v>29</v>
      </c>
      <c r="J61" s="20"/>
      <c r="K61" s="20"/>
      <c r="L61" s="112"/>
    </row>
    <row r="62" spans="1:37" outlineLevel="1" x14ac:dyDescent="0.25">
      <c r="B62" s="113"/>
      <c r="C62" s="111"/>
      <c r="D62" s="111"/>
      <c r="E62" s="123" t="s">
        <v>93</v>
      </c>
      <c r="F62" s="124">
        <v>0.85</v>
      </c>
      <c r="G62" s="20"/>
      <c r="H62" s="111"/>
      <c r="I62" s="20"/>
      <c r="J62" s="20"/>
      <c r="K62" s="20"/>
      <c r="L62" s="112"/>
    </row>
    <row r="63" spans="1:37" outlineLevel="1" x14ac:dyDescent="0.25">
      <c r="B63" s="113"/>
      <c r="C63" s="111"/>
      <c r="D63" s="111"/>
      <c r="E63" s="123" t="s">
        <v>211</v>
      </c>
      <c r="F63" s="124">
        <v>0.85299999999999998</v>
      </c>
      <c r="G63" s="20"/>
      <c r="H63" s="134" t="s">
        <v>237</v>
      </c>
      <c r="I63" s="134"/>
      <c r="J63" s="20"/>
      <c r="K63" s="20"/>
      <c r="L63" s="112"/>
    </row>
    <row r="64" spans="1:37" outlineLevel="1" x14ac:dyDescent="0.25">
      <c r="B64" s="113"/>
      <c r="C64" s="111"/>
      <c r="D64" s="111"/>
      <c r="E64" s="123" t="s">
        <v>107</v>
      </c>
      <c r="F64" s="124">
        <v>0.88400000000000001</v>
      </c>
      <c r="G64" s="20"/>
      <c r="H64" s="118" t="s">
        <v>238</v>
      </c>
      <c r="I64" s="118" t="s">
        <v>3</v>
      </c>
      <c r="J64" s="20"/>
      <c r="K64" s="20"/>
      <c r="L64" s="112"/>
    </row>
    <row r="65" spans="2:12" outlineLevel="1" x14ac:dyDescent="0.25">
      <c r="B65" s="113"/>
      <c r="C65" s="111"/>
      <c r="D65" s="111"/>
      <c r="E65" s="123" t="s">
        <v>201</v>
      </c>
      <c r="F65" s="124">
        <v>0.9</v>
      </c>
      <c r="G65" s="20"/>
      <c r="H65" s="116" t="s">
        <v>175</v>
      </c>
      <c r="I65" s="117">
        <v>0.72699999999999998</v>
      </c>
      <c r="J65" s="20"/>
      <c r="K65" s="20"/>
      <c r="L65" s="112"/>
    </row>
    <row r="66" spans="2:12" outlineLevel="1" x14ac:dyDescent="0.25">
      <c r="B66" s="113"/>
      <c r="C66" s="111"/>
      <c r="D66" s="111"/>
      <c r="E66" s="123" t="s">
        <v>193</v>
      </c>
      <c r="F66" s="124">
        <v>0.90900000000000003</v>
      </c>
      <c r="G66" s="20"/>
      <c r="H66" s="116" t="s">
        <v>95</v>
      </c>
      <c r="I66" s="117">
        <v>0.755</v>
      </c>
      <c r="J66" s="20"/>
      <c r="K66" s="20"/>
      <c r="L66" s="112"/>
    </row>
    <row r="67" spans="2:12" outlineLevel="1" x14ac:dyDescent="0.25">
      <c r="B67" s="113"/>
      <c r="C67" s="111"/>
      <c r="D67" s="111"/>
      <c r="E67" s="123" t="s">
        <v>153</v>
      </c>
      <c r="F67" s="124">
        <v>0.94</v>
      </c>
      <c r="G67" s="20"/>
      <c r="H67" s="116" t="s">
        <v>63</v>
      </c>
      <c r="I67" s="117">
        <v>0.80100000000000005</v>
      </c>
      <c r="J67" s="20"/>
      <c r="K67" s="20"/>
      <c r="L67" s="112"/>
    </row>
    <row r="68" spans="2:12" outlineLevel="1" x14ac:dyDescent="0.25">
      <c r="B68" s="113"/>
      <c r="C68" s="111"/>
      <c r="D68" s="111"/>
      <c r="E68" s="123" t="s">
        <v>101</v>
      </c>
      <c r="F68" s="124">
        <v>0.94299999999999995</v>
      </c>
      <c r="G68" s="20"/>
      <c r="H68" s="116" t="s">
        <v>177</v>
      </c>
      <c r="I68" s="117">
        <v>0.82499999999999996</v>
      </c>
      <c r="J68" s="20"/>
      <c r="K68" s="20"/>
      <c r="L68" s="112"/>
    </row>
    <row r="69" spans="2:12" outlineLevel="1" x14ac:dyDescent="0.25">
      <c r="B69" s="113"/>
      <c r="C69" s="111"/>
      <c r="D69" s="111"/>
      <c r="E69" s="123" t="s">
        <v>89</v>
      </c>
      <c r="F69" s="124">
        <v>0.98399999999999999</v>
      </c>
      <c r="G69" s="20"/>
      <c r="H69" s="116" t="s">
        <v>115</v>
      </c>
      <c r="I69" s="117">
        <v>0.84299999999999997</v>
      </c>
      <c r="J69" s="20"/>
      <c r="K69" s="20"/>
      <c r="L69" s="112"/>
    </row>
    <row r="70" spans="2:12" outlineLevel="1" x14ac:dyDescent="0.25">
      <c r="B70" s="113"/>
      <c r="C70" s="111"/>
      <c r="D70" s="111"/>
      <c r="E70" s="123" t="s">
        <v>103</v>
      </c>
      <c r="F70" s="124">
        <v>0.998</v>
      </c>
      <c r="G70" s="20"/>
      <c r="H70" s="111"/>
      <c r="I70" s="20"/>
      <c r="J70" s="20"/>
      <c r="K70" s="20"/>
      <c r="L70" s="112"/>
    </row>
    <row r="71" spans="2:12" outlineLevel="1" x14ac:dyDescent="0.25">
      <c r="B71" s="113"/>
      <c r="C71" s="111"/>
      <c r="D71" s="111"/>
      <c r="E71" s="123" t="s">
        <v>77</v>
      </c>
      <c r="F71" s="124">
        <v>1</v>
      </c>
      <c r="G71" s="20"/>
      <c r="H71" s="111"/>
      <c r="I71" s="20"/>
      <c r="J71" s="20"/>
      <c r="K71" s="20"/>
      <c r="L71" s="112"/>
    </row>
    <row r="72" spans="2:12" outlineLevel="1" x14ac:dyDescent="0.25">
      <c r="B72" s="113"/>
      <c r="C72" s="111"/>
      <c r="D72" s="111"/>
      <c r="E72" s="123" t="s">
        <v>79</v>
      </c>
      <c r="F72" s="124">
        <v>1</v>
      </c>
      <c r="G72" s="20"/>
      <c r="H72" s="20"/>
      <c r="I72" s="20"/>
      <c r="J72" s="20"/>
      <c r="K72" s="20"/>
      <c r="L72" s="112"/>
    </row>
    <row r="73" spans="2:12" outlineLevel="1" x14ac:dyDescent="0.25">
      <c r="B73" s="113"/>
      <c r="C73" s="111"/>
      <c r="D73" s="111"/>
      <c r="E73" s="123" t="s">
        <v>81</v>
      </c>
      <c r="F73" s="124">
        <v>1</v>
      </c>
      <c r="G73" s="20"/>
      <c r="H73" s="122" t="s">
        <v>344</v>
      </c>
      <c r="I73" s="122"/>
      <c r="J73" s="20"/>
      <c r="K73" s="20"/>
      <c r="L73" s="112"/>
    </row>
    <row r="74" spans="2:12" outlineLevel="1" x14ac:dyDescent="0.25">
      <c r="B74" s="113"/>
      <c r="C74" s="111"/>
      <c r="D74" s="111"/>
      <c r="E74" s="123" t="s">
        <v>334</v>
      </c>
      <c r="F74" s="124">
        <v>1</v>
      </c>
      <c r="G74" s="20"/>
      <c r="H74" s="118" t="s">
        <v>245</v>
      </c>
      <c r="I74" s="118" t="s">
        <v>300</v>
      </c>
      <c r="J74" s="118" t="s">
        <v>244</v>
      </c>
      <c r="K74" s="131" t="s">
        <v>298</v>
      </c>
      <c r="L74" s="112"/>
    </row>
    <row r="75" spans="2:12" outlineLevel="1" x14ac:dyDescent="0.25">
      <c r="B75" s="113"/>
      <c r="C75" s="111"/>
      <c r="D75" s="111"/>
      <c r="E75" s="123" t="s">
        <v>125</v>
      </c>
      <c r="F75" s="124">
        <v>1</v>
      </c>
      <c r="G75" s="20"/>
      <c r="H75" s="73" t="s">
        <v>301</v>
      </c>
      <c r="I75" s="103">
        <v>1.7139195971057116E-3</v>
      </c>
      <c r="J75" s="103">
        <v>1.7920456111471317E-3</v>
      </c>
      <c r="K75" s="132">
        <v>4.5583243329121892E-2</v>
      </c>
      <c r="L75" s="114"/>
    </row>
    <row r="76" spans="2:12" outlineLevel="1" x14ac:dyDescent="0.25">
      <c r="B76" s="113"/>
      <c r="C76" s="111"/>
      <c r="D76" s="111"/>
      <c r="E76" s="123" t="s">
        <v>133</v>
      </c>
      <c r="F76" s="124">
        <v>1</v>
      </c>
      <c r="G76" s="20"/>
      <c r="H76" s="73" t="s">
        <v>302</v>
      </c>
      <c r="I76" s="104">
        <v>0.76372059103982004</v>
      </c>
      <c r="J76" s="104">
        <v>0.46405007414626609</v>
      </c>
      <c r="K76" s="132">
        <v>-0.39238239797299024</v>
      </c>
      <c r="L76" s="112"/>
    </row>
    <row r="77" spans="2:12" outlineLevel="1" x14ac:dyDescent="0.25">
      <c r="B77" s="113"/>
      <c r="C77" s="111"/>
      <c r="D77" s="111"/>
      <c r="E77" s="123" t="s">
        <v>143</v>
      </c>
      <c r="F77" s="124">
        <v>1</v>
      </c>
      <c r="G77" s="20"/>
      <c r="H77" s="73" t="s">
        <v>303</v>
      </c>
      <c r="I77" s="104">
        <v>0.88107656679625013</v>
      </c>
      <c r="J77" s="104">
        <v>0.85853275636471504</v>
      </c>
      <c r="K77" s="132">
        <v>-2.5586664407054149E-2</v>
      </c>
      <c r="L77" s="112"/>
    </row>
    <row r="78" spans="2:12" outlineLevel="1" x14ac:dyDescent="0.25">
      <c r="B78" s="113"/>
      <c r="C78" s="111"/>
      <c r="D78" s="111"/>
      <c r="E78" s="123" t="s">
        <v>147</v>
      </c>
      <c r="F78" s="124">
        <v>1</v>
      </c>
      <c r="G78" s="20"/>
      <c r="H78" s="73" t="s">
        <v>304</v>
      </c>
      <c r="I78" s="73">
        <v>7.7312938829669609E-2</v>
      </c>
      <c r="J78" s="73">
        <v>5.6336173829277816E-2</v>
      </c>
      <c r="K78" s="132">
        <v>-0.27132282536311703</v>
      </c>
      <c r="L78" s="112"/>
    </row>
    <row r="79" spans="2:12" outlineLevel="1" x14ac:dyDescent="0.25">
      <c r="B79" s="113"/>
      <c r="C79" s="111"/>
      <c r="D79" s="111"/>
      <c r="E79" s="123" t="s">
        <v>155</v>
      </c>
      <c r="F79" s="124">
        <v>1</v>
      </c>
      <c r="G79" s="20"/>
      <c r="H79" s="73" t="s">
        <v>305</v>
      </c>
      <c r="I79" s="104">
        <v>405107.22672309907</v>
      </c>
      <c r="J79" s="104">
        <v>223308.92631578946</v>
      </c>
      <c r="K79" s="132">
        <v>-0.44876587830306292</v>
      </c>
      <c r="L79" s="112"/>
    </row>
    <row r="80" spans="2:12" outlineLevel="1" x14ac:dyDescent="0.25">
      <c r="B80" s="113"/>
      <c r="C80" s="111"/>
      <c r="D80" s="111"/>
      <c r="E80" s="123" t="s">
        <v>165</v>
      </c>
      <c r="F80" s="124">
        <v>1</v>
      </c>
      <c r="G80" s="20"/>
      <c r="H80" s="73" t="s">
        <v>306</v>
      </c>
      <c r="I80" s="104">
        <v>27943.841147022667</v>
      </c>
      <c r="J80" s="104">
        <v>14653.337799043062</v>
      </c>
      <c r="K80" s="132">
        <v>-0.47561476169483841</v>
      </c>
      <c r="L80" s="112"/>
    </row>
    <row r="81" spans="2:12" outlineLevel="1" x14ac:dyDescent="0.25">
      <c r="B81" s="113"/>
      <c r="C81" s="111"/>
      <c r="D81" s="111"/>
      <c r="E81" s="123" t="s">
        <v>169</v>
      </c>
      <c r="F81" s="124">
        <v>1</v>
      </c>
      <c r="G81" s="20"/>
      <c r="H81" s="73" t="s">
        <v>307</v>
      </c>
      <c r="I81" s="104">
        <v>616.39091582417825</v>
      </c>
      <c r="J81" s="104">
        <v>466.12057416267942</v>
      </c>
      <c r="K81" s="132">
        <v>-0.24379064941372774</v>
      </c>
      <c r="L81" s="112"/>
    </row>
    <row r="82" spans="2:12" outlineLevel="1" x14ac:dyDescent="0.25">
      <c r="B82" s="113"/>
      <c r="C82" s="111"/>
      <c r="D82" s="111"/>
      <c r="E82" s="123" t="s">
        <v>173</v>
      </c>
      <c r="F82" s="124">
        <v>1</v>
      </c>
      <c r="G82" s="20"/>
      <c r="H82" s="73" t="s">
        <v>308</v>
      </c>
      <c r="I82" s="104">
        <v>276812.00332006352</v>
      </c>
      <c r="J82" s="104">
        <v>120701.88708133971</v>
      </c>
      <c r="K82" s="132">
        <v>-0.5639571780354542</v>
      </c>
      <c r="L82" s="112"/>
    </row>
    <row r="83" spans="2:12" outlineLevel="1" x14ac:dyDescent="0.25">
      <c r="B83" s="113"/>
      <c r="C83" s="111"/>
      <c r="D83" s="111"/>
      <c r="E83" s="123" t="s">
        <v>203</v>
      </c>
      <c r="F83" s="124">
        <v>1</v>
      </c>
      <c r="G83" s="20"/>
      <c r="H83" s="20"/>
      <c r="I83" s="20"/>
      <c r="J83" s="20"/>
      <c r="K83" s="20"/>
      <c r="L83" s="112"/>
    </row>
    <row r="84" spans="2:12" outlineLevel="1" x14ac:dyDescent="0.25">
      <c r="B84" s="113"/>
      <c r="C84" s="111"/>
      <c r="D84" s="111"/>
      <c r="E84" s="123" t="s">
        <v>217</v>
      </c>
      <c r="F84" s="124">
        <v>1</v>
      </c>
      <c r="G84" s="20"/>
      <c r="H84" s="20"/>
      <c r="I84" s="20"/>
      <c r="J84" s="20"/>
      <c r="K84" s="20"/>
      <c r="L84" s="112"/>
    </row>
    <row r="85" spans="2:12" outlineLevel="1" x14ac:dyDescent="0.25">
      <c r="B85" s="113"/>
      <c r="C85" s="111"/>
      <c r="D85" s="111"/>
      <c r="E85" s="123" t="s">
        <v>225</v>
      </c>
      <c r="F85" s="124">
        <v>1</v>
      </c>
      <c r="G85" s="20"/>
      <c r="H85" s="20"/>
      <c r="I85" s="20"/>
      <c r="J85" s="20"/>
      <c r="K85" s="20"/>
      <c r="L85" s="112"/>
    </row>
    <row r="86" spans="2:12" outlineLevel="1" x14ac:dyDescent="0.25">
      <c r="B86" s="101"/>
      <c r="C86" s="74"/>
      <c r="D86" s="74"/>
      <c r="E86" s="74"/>
      <c r="F86" s="74"/>
      <c r="G86" s="74"/>
      <c r="H86" s="74"/>
      <c r="I86" s="74"/>
      <c r="J86" s="74"/>
      <c r="K86" s="74"/>
      <c r="L86" s="115"/>
    </row>
    <row r="87" spans="2:12" outlineLevel="1" x14ac:dyDescent="0.25"/>
    <row r="88" spans="2:12" outlineLevel="1" x14ac:dyDescent="0.25"/>
    <row r="89" spans="2:12" outlineLevel="1" x14ac:dyDescent="0.25"/>
    <row r="90" spans="2:12" outlineLevel="1" x14ac:dyDescent="0.25"/>
    <row r="101" spans="5:6" x14ac:dyDescent="0.25">
      <c r="E101"/>
      <c r="F101"/>
    </row>
    <row r="102" spans="5:6" x14ac:dyDescent="0.25">
      <c r="E102"/>
      <c r="F102"/>
    </row>
    <row r="103" spans="5:6" x14ac:dyDescent="0.25">
      <c r="E103"/>
      <c r="F103"/>
    </row>
    <row r="104" spans="5:6" x14ac:dyDescent="0.25">
      <c r="E104"/>
      <c r="F104"/>
    </row>
    <row r="105" spans="5:6" x14ac:dyDescent="0.25">
      <c r="E105"/>
      <c r="F105"/>
    </row>
    <row r="106" spans="5:6" x14ac:dyDescent="0.25">
      <c r="E106"/>
      <c r="F106"/>
    </row>
    <row r="107" spans="5:6" x14ac:dyDescent="0.25">
      <c r="E107"/>
      <c r="F107"/>
    </row>
    <row r="108" spans="5:6" x14ac:dyDescent="0.25">
      <c r="E108"/>
      <c r="F108"/>
    </row>
    <row r="109" spans="5:6" x14ac:dyDescent="0.25">
      <c r="E109"/>
      <c r="F109"/>
    </row>
    <row r="110" spans="5:6" x14ac:dyDescent="0.25">
      <c r="E110"/>
      <c r="F110"/>
    </row>
  </sheetData>
  <mergeCells count="11">
    <mergeCell ref="H57:I57"/>
    <mergeCell ref="H63:I63"/>
    <mergeCell ref="A1:J2"/>
    <mergeCell ref="B6:N11"/>
    <mergeCell ref="B32:D35"/>
    <mergeCell ref="B28:D29"/>
    <mergeCell ref="B43:D49"/>
    <mergeCell ref="B38:D39"/>
    <mergeCell ref="H25:I25"/>
    <mergeCell ref="F25:G25"/>
    <mergeCell ref="H24:I24"/>
  </mergeCells>
  <conditionalFormatting sqref="K75:K82">
    <cfRule type="cellIs" dxfId="39" priority="2" operator="greaterThan">
      <formula>0</formula>
    </cfRule>
    <cfRule type="colorScale" priority="3">
      <colorScale>
        <cfvo type="min"/>
        <cfvo type="max"/>
        <color rgb="FFFF7128"/>
        <color rgb="FFFFEF9C"/>
      </colorScale>
    </cfRule>
    <cfRule type="colorScale" priority="4">
      <colorScale>
        <cfvo type="min"/>
        <cfvo type="max"/>
        <color rgb="FFF8696B"/>
        <color rgb="FFFCFCFF"/>
      </colorScale>
    </cfRule>
  </conditionalFormatting>
  <conditionalFormatting sqref="F57:F85">
    <cfRule type="colorScale" priority="1">
      <colorScale>
        <cfvo type="min"/>
        <cfvo type="percentile" val="50"/>
        <cfvo type="max"/>
        <color rgb="FFF8696B"/>
        <color rgb="FFFFEB84"/>
        <color rgb="FF63BE7B"/>
      </colorScale>
    </cfRule>
  </conditionalFormatting>
  <printOptions horizontalCentered="1" headings="1" gridLines="1"/>
  <pageMargins left="0.75" right="0.75" top="1" bottom="1" header="0.5" footer="2.94"/>
  <pageSetup scale="93" orientation="portrait" horizontalDpi="300" verticalDpi="300" r:id="rId1"/>
  <headerFooter alignWithMargins="0"/>
  <ignoredErrors>
    <ignoredError sqref="F43" formulaRange="1"/>
  </ignoredErrors>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46A4713-1210-42B3-8E94-3DF8EACBB892}">
          <x14:formula1>
            <xm:f>'DEA&gt;=$100M'!$C$2:$C$30</xm:f>
          </x14:formula1>
          <xm:sqref>H25:I25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92D04-636E-4B23-8971-7291CC0FF7E5}">
  <sheetPr>
    <tabColor theme="5" tint="0.59999389629810485"/>
    <pageSetUpPr fitToPage="1"/>
  </sheetPr>
  <dimension ref="A1:BK92"/>
  <sheetViews>
    <sheetView showGridLines="0" zoomScale="75" zoomScaleNormal="75" workbookViewId="0">
      <selection activeCell="C4" sqref="C4"/>
    </sheetView>
  </sheetViews>
  <sheetFormatPr defaultColWidth="9.140625" defaultRowHeight="15.75" x14ac:dyDescent="0.25"/>
  <cols>
    <col min="1" max="1" width="58.5703125" style="2" customWidth="1"/>
    <col min="2" max="3" width="14.85546875" style="2" bestFit="1" customWidth="1"/>
    <col min="4" max="4" width="15.85546875" style="2" bestFit="1" customWidth="1"/>
    <col min="5" max="5" width="31.7109375" style="2" bestFit="1" customWidth="1"/>
    <col min="6" max="43" width="14.85546875" style="2" bestFit="1" customWidth="1"/>
    <col min="44" max="44" width="15.85546875" style="2" bestFit="1" customWidth="1"/>
    <col min="45" max="61" width="14.85546875" style="2" bestFit="1" customWidth="1"/>
    <col min="62" max="62" width="10.7109375" style="2" bestFit="1" customWidth="1"/>
    <col min="63" max="16384" width="9.140625" style="2"/>
  </cols>
  <sheetData>
    <row r="1" spans="1:62" x14ac:dyDescent="0.25">
      <c r="D1" s="150" t="s">
        <v>234</v>
      </c>
      <c r="E1" s="150"/>
    </row>
    <row r="2" spans="1:62" ht="18.75" x14ac:dyDescent="0.3">
      <c r="A2" s="1"/>
      <c r="B2" s="151" t="s">
        <v>233</v>
      </c>
      <c r="C2" s="151"/>
      <c r="D2" s="152" t="s">
        <v>227</v>
      </c>
      <c r="E2" s="152"/>
      <c r="F2" s="2">
        <f>INDEX('DEA&lt;=$100M '!A2:A61,MATCH('DEA &lt;=$100M'!D2,'DEA&lt;=$100M '!C2:C61,0))</f>
        <v>58</v>
      </c>
    </row>
    <row r="3" spans="1:62" x14ac:dyDescent="0.25">
      <c r="B3" s="3" t="s">
        <v>19</v>
      </c>
      <c r="C3" s="3"/>
      <c r="D3" s="3"/>
      <c r="E3" s="3"/>
      <c r="F3" s="3"/>
      <c r="G3" s="3"/>
      <c r="H3" s="3"/>
      <c r="I3" s="3"/>
      <c r="J3" s="3"/>
      <c r="K3" s="3"/>
      <c r="L3" s="3"/>
      <c r="M3" s="3"/>
      <c r="N3" s="3"/>
      <c r="O3" s="3"/>
      <c r="P3" s="3"/>
      <c r="Q3" s="3"/>
      <c r="R3" s="3"/>
      <c r="S3" s="3"/>
      <c r="T3" s="3"/>
      <c r="U3" s="3"/>
      <c r="V3" s="3"/>
      <c r="W3" s="3"/>
      <c r="X3" s="3"/>
      <c r="Y3" s="3"/>
      <c r="Z3" s="3"/>
      <c r="AA3" s="3"/>
      <c r="AB3" s="3"/>
      <c r="AC3" s="3"/>
      <c r="AD3" s="3"/>
    </row>
    <row r="4" spans="1:62" x14ac:dyDescent="0.25">
      <c r="A4" s="4" t="s">
        <v>0</v>
      </c>
      <c r="B4" s="5">
        <v>1</v>
      </c>
      <c r="C4" s="5">
        <v>2</v>
      </c>
      <c r="D4" s="5">
        <v>3</v>
      </c>
      <c r="E4" s="5">
        <v>4</v>
      </c>
      <c r="F4" s="5">
        <v>5</v>
      </c>
      <c r="G4" s="5">
        <v>6</v>
      </c>
      <c r="H4" s="5">
        <v>7</v>
      </c>
      <c r="I4" s="5">
        <v>8</v>
      </c>
      <c r="J4" s="5">
        <v>9</v>
      </c>
      <c r="K4" s="5">
        <v>10</v>
      </c>
      <c r="L4" s="5">
        <v>11</v>
      </c>
      <c r="M4" s="5">
        <v>12</v>
      </c>
      <c r="N4" s="5">
        <v>13</v>
      </c>
      <c r="O4" s="5">
        <v>14</v>
      </c>
      <c r="P4" s="5">
        <v>15</v>
      </c>
      <c r="Q4" s="5">
        <v>16</v>
      </c>
      <c r="R4" s="5">
        <v>17</v>
      </c>
      <c r="S4" s="5">
        <v>18</v>
      </c>
      <c r="T4" s="5">
        <v>19</v>
      </c>
      <c r="U4" s="5">
        <v>20</v>
      </c>
      <c r="V4" s="5">
        <v>21</v>
      </c>
      <c r="W4" s="5">
        <v>22</v>
      </c>
      <c r="X4" s="5">
        <v>23</v>
      </c>
      <c r="Y4" s="5">
        <v>24</v>
      </c>
      <c r="Z4" s="5">
        <v>25</v>
      </c>
      <c r="AA4" s="5">
        <v>26</v>
      </c>
      <c r="AB4" s="5">
        <v>27</v>
      </c>
      <c r="AC4" s="5">
        <v>28</v>
      </c>
      <c r="AD4" s="5">
        <v>29</v>
      </c>
      <c r="AE4" s="5">
        <v>30</v>
      </c>
      <c r="AF4" s="5">
        <v>31</v>
      </c>
      <c r="AG4" s="5">
        <v>32</v>
      </c>
      <c r="AH4" s="5">
        <v>33</v>
      </c>
      <c r="AI4" s="5">
        <v>34</v>
      </c>
      <c r="AJ4" s="5">
        <v>35</v>
      </c>
      <c r="AK4" s="5">
        <v>36</v>
      </c>
      <c r="AL4" s="5">
        <v>37</v>
      </c>
      <c r="AM4" s="5">
        <v>38</v>
      </c>
      <c r="AN4" s="5">
        <v>39</v>
      </c>
      <c r="AO4" s="5">
        <v>40</v>
      </c>
      <c r="AP4" s="5">
        <v>41</v>
      </c>
      <c r="AQ4" s="5">
        <v>42</v>
      </c>
      <c r="AR4" s="5">
        <v>43</v>
      </c>
      <c r="AS4" s="5">
        <v>44</v>
      </c>
      <c r="AT4" s="5">
        <v>45</v>
      </c>
      <c r="AU4" s="5">
        <v>46</v>
      </c>
      <c r="AV4" s="5">
        <v>47</v>
      </c>
      <c r="AW4" s="5">
        <v>48</v>
      </c>
      <c r="AX4" s="5">
        <v>49</v>
      </c>
      <c r="AY4" s="5">
        <v>50</v>
      </c>
      <c r="AZ4" s="5">
        <v>51</v>
      </c>
      <c r="BA4" s="5">
        <v>52</v>
      </c>
      <c r="BB4" s="5">
        <v>53</v>
      </c>
      <c r="BC4" s="5">
        <v>54</v>
      </c>
      <c r="BD4" s="5">
        <v>55</v>
      </c>
      <c r="BE4" s="5">
        <v>56</v>
      </c>
      <c r="BF4" s="5">
        <v>57</v>
      </c>
      <c r="BG4" s="5">
        <v>58</v>
      </c>
      <c r="BH4" s="5">
        <v>59</v>
      </c>
      <c r="BI4" s="5">
        <v>60</v>
      </c>
      <c r="BJ4" s="5"/>
    </row>
    <row r="5" spans="1:62" x14ac:dyDescent="0.25">
      <c r="A5" s="2" t="s">
        <v>13</v>
      </c>
      <c r="B5" s="13">
        <v>210</v>
      </c>
      <c r="C5" s="13">
        <v>281</v>
      </c>
      <c r="D5" s="13">
        <v>353</v>
      </c>
      <c r="E5" s="13">
        <v>355</v>
      </c>
      <c r="F5" s="13">
        <v>103</v>
      </c>
      <c r="G5" s="13">
        <v>134</v>
      </c>
      <c r="H5" s="13">
        <v>102</v>
      </c>
      <c r="I5" s="13">
        <v>117</v>
      </c>
      <c r="J5" s="13">
        <v>151</v>
      </c>
      <c r="K5" s="13">
        <v>161</v>
      </c>
      <c r="L5" s="13">
        <v>397</v>
      </c>
      <c r="M5" s="13">
        <v>387</v>
      </c>
      <c r="N5" s="13">
        <v>198</v>
      </c>
      <c r="O5" s="13">
        <v>145</v>
      </c>
      <c r="P5" s="13">
        <v>226</v>
      </c>
      <c r="Q5" s="13">
        <v>157</v>
      </c>
      <c r="R5" s="13">
        <v>255</v>
      </c>
      <c r="S5" s="13">
        <v>100</v>
      </c>
      <c r="T5" s="13">
        <v>171</v>
      </c>
      <c r="U5" s="13">
        <v>111</v>
      </c>
      <c r="V5" s="13">
        <v>423</v>
      </c>
      <c r="W5" s="13">
        <v>106</v>
      </c>
      <c r="X5" s="13">
        <v>263</v>
      </c>
      <c r="Y5" s="13">
        <v>174</v>
      </c>
      <c r="Z5" s="13">
        <v>129</v>
      </c>
      <c r="AA5" s="13">
        <v>433</v>
      </c>
      <c r="AB5" s="13">
        <v>498</v>
      </c>
      <c r="AC5" s="13">
        <v>160</v>
      </c>
      <c r="AD5" s="13">
        <v>162</v>
      </c>
      <c r="AE5" s="2">
        <v>120</v>
      </c>
      <c r="AF5" s="2">
        <v>248</v>
      </c>
      <c r="AG5" s="2">
        <v>149</v>
      </c>
      <c r="AH5" s="2">
        <v>296</v>
      </c>
      <c r="AI5" s="2">
        <v>103</v>
      </c>
      <c r="AJ5" s="2">
        <v>129</v>
      </c>
      <c r="AK5" s="2">
        <v>289</v>
      </c>
      <c r="AL5" s="2">
        <v>162</v>
      </c>
      <c r="AM5" s="2">
        <v>201</v>
      </c>
      <c r="AN5" s="2">
        <v>189</v>
      </c>
      <c r="AO5" s="2">
        <v>112</v>
      </c>
      <c r="AP5" s="2">
        <v>445</v>
      </c>
      <c r="AQ5" s="2">
        <v>319</v>
      </c>
      <c r="AR5" s="2">
        <v>365</v>
      </c>
      <c r="AS5" s="2">
        <v>287</v>
      </c>
      <c r="AT5" s="2">
        <v>270</v>
      </c>
      <c r="AU5" s="2">
        <v>166</v>
      </c>
      <c r="AV5" s="2">
        <v>314</v>
      </c>
      <c r="AW5" s="2">
        <v>506</v>
      </c>
      <c r="AX5" s="2">
        <v>417</v>
      </c>
      <c r="AY5" s="2">
        <v>187</v>
      </c>
      <c r="AZ5" s="2">
        <v>128</v>
      </c>
      <c r="BA5" s="2">
        <v>196</v>
      </c>
      <c r="BB5" s="2">
        <v>348</v>
      </c>
      <c r="BC5" s="2">
        <v>135</v>
      </c>
      <c r="BD5" s="2">
        <v>151</v>
      </c>
      <c r="BE5" s="2">
        <v>240</v>
      </c>
      <c r="BF5" s="2">
        <v>143</v>
      </c>
      <c r="BG5" s="2">
        <v>131</v>
      </c>
      <c r="BH5" s="2">
        <v>118</v>
      </c>
      <c r="BI5" s="2">
        <v>309</v>
      </c>
    </row>
    <row r="6" spans="1:62" x14ac:dyDescent="0.25">
      <c r="A6" s="2" t="s">
        <v>14</v>
      </c>
      <c r="B6" s="36">
        <v>26874648</v>
      </c>
      <c r="C6" s="36">
        <v>30495206</v>
      </c>
      <c r="D6" s="36">
        <v>63543690</v>
      </c>
      <c r="E6" s="36">
        <v>80182019</v>
      </c>
      <c r="F6" s="36">
        <v>12266958</v>
      </c>
      <c r="G6" s="36">
        <v>27485962</v>
      </c>
      <c r="H6" s="36">
        <v>19130905</v>
      </c>
      <c r="I6" s="36">
        <v>49166569</v>
      </c>
      <c r="J6" s="36">
        <v>38249302</v>
      </c>
      <c r="K6" s="36">
        <v>15030897</v>
      </c>
      <c r="L6" s="36">
        <v>79094906</v>
      </c>
      <c r="M6" s="36">
        <v>74841144</v>
      </c>
      <c r="N6" s="36">
        <v>52927998</v>
      </c>
      <c r="O6" s="36">
        <v>30365048</v>
      </c>
      <c r="P6" s="36">
        <v>30052057</v>
      </c>
      <c r="Q6" s="36">
        <v>21136146</v>
      </c>
      <c r="R6" s="36">
        <v>63651938</v>
      </c>
      <c r="S6" s="36">
        <v>20760303</v>
      </c>
      <c r="T6" s="36">
        <v>40834773</v>
      </c>
      <c r="U6" s="36">
        <v>16498122</v>
      </c>
      <c r="V6" s="36">
        <v>62379812</v>
      </c>
      <c r="W6" s="36">
        <v>12694210</v>
      </c>
      <c r="X6" s="36">
        <v>47972407</v>
      </c>
      <c r="Y6" s="36">
        <v>82747035</v>
      </c>
      <c r="Z6" s="36">
        <v>27928799</v>
      </c>
      <c r="AA6" s="36">
        <v>83698406</v>
      </c>
      <c r="AB6" s="36">
        <v>74041272</v>
      </c>
      <c r="AC6" s="36">
        <v>12644285</v>
      </c>
      <c r="AD6" s="36">
        <v>21380293</v>
      </c>
      <c r="AE6" s="36">
        <v>26879561</v>
      </c>
      <c r="AF6" s="36">
        <v>34000379</v>
      </c>
      <c r="AG6" s="36">
        <v>18213469</v>
      </c>
      <c r="AH6" s="36">
        <v>52591000</v>
      </c>
      <c r="AI6" s="36">
        <v>10749927</v>
      </c>
      <c r="AJ6" s="36">
        <v>13689806</v>
      </c>
      <c r="AK6" s="36">
        <v>72487808</v>
      </c>
      <c r="AL6" s="36">
        <v>42845662</v>
      </c>
      <c r="AM6" s="36">
        <v>32369787</v>
      </c>
      <c r="AN6" s="36">
        <v>52616798</v>
      </c>
      <c r="AO6" s="36">
        <v>12685880</v>
      </c>
      <c r="AP6" s="36">
        <v>93876811</v>
      </c>
      <c r="AQ6" s="36">
        <v>57376864</v>
      </c>
      <c r="AR6" s="36">
        <v>99159243</v>
      </c>
      <c r="AS6" s="36">
        <v>53607399</v>
      </c>
      <c r="AT6" s="36">
        <v>34875855</v>
      </c>
      <c r="AU6" s="36">
        <v>21574347</v>
      </c>
      <c r="AV6" s="36">
        <v>79647202</v>
      </c>
      <c r="AW6" s="36">
        <v>76208683</v>
      </c>
      <c r="AX6" s="36">
        <v>55141847</v>
      </c>
      <c r="AY6" s="36">
        <v>71171800</v>
      </c>
      <c r="AZ6" s="36">
        <v>16518708</v>
      </c>
      <c r="BA6" s="36">
        <v>20718207</v>
      </c>
      <c r="BB6" s="36">
        <v>64737516</v>
      </c>
      <c r="BC6" s="36">
        <v>22517626</v>
      </c>
      <c r="BD6" s="36">
        <v>27287707</v>
      </c>
      <c r="BE6" s="36">
        <v>28195668</v>
      </c>
      <c r="BF6" s="36">
        <v>19624034</v>
      </c>
      <c r="BG6" s="36">
        <v>18817165</v>
      </c>
      <c r="BH6" s="36">
        <v>27264332</v>
      </c>
      <c r="BI6" s="36">
        <v>60416192</v>
      </c>
    </row>
    <row r="8" spans="1:62" x14ac:dyDescent="0.25">
      <c r="B8" s="3" t="s">
        <v>19</v>
      </c>
      <c r="C8" s="3"/>
      <c r="D8" s="3"/>
      <c r="E8" s="3"/>
      <c r="F8" s="3"/>
      <c r="G8" s="3"/>
      <c r="H8" s="3"/>
      <c r="I8" s="3"/>
      <c r="J8" s="3"/>
      <c r="K8" s="3"/>
      <c r="L8" s="3"/>
      <c r="M8" s="3"/>
      <c r="N8" s="3"/>
      <c r="O8" s="3"/>
      <c r="P8" s="3"/>
      <c r="Q8" s="3"/>
      <c r="R8" s="3"/>
      <c r="S8" s="3"/>
      <c r="T8" s="3"/>
      <c r="U8" s="3"/>
      <c r="V8" s="3"/>
      <c r="W8" s="3"/>
      <c r="X8" s="3"/>
      <c r="Y8" s="3"/>
      <c r="Z8" s="3"/>
      <c r="AA8" s="3"/>
      <c r="AB8" s="3"/>
      <c r="AC8" s="3"/>
      <c r="AD8" s="3"/>
    </row>
    <row r="9" spans="1:62" x14ac:dyDescent="0.25">
      <c r="A9" s="4" t="s">
        <v>1</v>
      </c>
      <c r="B9" s="5">
        <v>1</v>
      </c>
      <c r="C9" s="5">
        <v>2</v>
      </c>
      <c r="D9" s="5">
        <v>3</v>
      </c>
      <c r="E9" s="5">
        <v>4</v>
      </c>
      <c r="F9" s="5">
        <v>5</v>
      </c>
      <c r="G9" s="5">
        <v>6</v>
      </c>
      <c r="H9" s="5">
        <v>7</v>
      </c>
      <c r="I9" s="5">
        <v>8</v>
      </c>
      <c r="J9" s="5">
        <v>9</v>
      </c>
      <c r="K9" s="5">
        <v>10</v>
      </c>
      <c r="L9" s="5">
        <v>11</v>
      </c>
      <c r="M9" s="5">
        <v>12</v>
      </c>
      <c r="N9" s="5">
        <v>13</v>
      </c>
      <c r="O9" s="5">
        <v>14</v>
      </c>
      <c r="P9" s="5">
        <v>15</v>
      </c>
      <c r="Q9" s="5">
        <v>16</v>
      </c>
      <c r="R9" s="5">
        <v>17</v>
      </c>
      <c r="S9" s="5">
        <v>18</v>
      </c>
      <c r="T9" s="5">
        <v>19</v>
      </c>
      <c r="U9" s="5">
        <v>20</v>
      </c>
      <c r="V9" s="5">
        <v>21</v>
      </c>
      <c r="W9" s="5">
        <v>22</v>
      </c>
      <c r="X9" s="5">
        <v>23</v>
      </c>
      <c r="Y9" s="5">
        <v>24</v>
      </c>
      <c r="Z9" s="5">
        <v>25</v>
      </c>
      <c r="AA9" s="5">
        <v>26</v>
      </c>
      <c r="AB9" s="5">
        <v>27</v>
      </c>
      <c r="AC9" s="5">
        <v>28</v>
      </c>
      <c r="AD9" s="5">
        <v>29</v>
      </c>
      <c r="AE9" s="5">
        <v>30</v>
      </c>
      <c r="AF9" s="5">
        <v>31</v>
      </c>
      <c r="AG9" s="5">
        <v>32</v>
      </c>
      <c r="AH9" s="5">
        <v>33</v>
      </c>
      <c r="AI9" s="5">
        <v>34</v>
      </c>
      <c r="AJ9" s="5">
        <v>35</v>
      </c>
      <c r="AK9" s="5">
        <v>36</v>
      </c>
      <c r="AL9" s="5">
        <v>37</v>
      </c>
      <c r="AM9" s="5">
        <v>38</v>
      </c>
      <c r="AN9" s="5">
        <v>39</v>
      </c>
      <c r="AO9" s="5">
        <v>40</v>
      </c>
      <c r="AP9" s="5">
        <v>41</v>
      </c>
      <c r="AQ9" s="5">
        <v>42</v>
      </c>
      <c r="AR9" s="5">
        <v>43</v>
      </c>
      <c r="AS9" s="5">
        <v>44</v>
      </c>
      <c r="AT9" s="5">
        <v>45</v>
      </c>
      <c r="AU9" s="5">
        <v>46</v>
      </c>
      <c r="AV9" s="5">
        <v>47</v>
      </c>
      <c r="AW9" s="5">
        <v>48</v>
      </c>
      <c r="AX9" s="5">
        <v>49</v>
      </c>
      <c r="AY9" s="5">
        <v>50</v>
      </c>
      <c r="AZ9" s="5">
        <v>51</v>
      </c>
      <c r="BA9" s="5">
        <v>52</v>
      </c>
      <c r="BB9" s="5">
        <v>53</v>
      </c>
      <c r="BC9" s="5">
        <v>54</v>
      </c>
      <c r="BD9" s="5">
        <v>55</v>
      </c>
      <c r="BE9" s="5">
        <v>56</v>
      </c>
      <c r="BF9" s="5">
        <v>57</v>
      </c>
      <c r="BG9" s="5">
        <v>58</v>
      </c>
      <c r="BH9" s="5">
        <v>59</v>
      </c>
      <c r="BI9" s="5">
        <v>60</v>
      </c>
    </row>
    <row r="10" spans="1:62" x14ac:dyDescent="0.25">
      <c r="A10" s="2" t="s">
        <v>15</v>
      </c>
      <c r="B10" s="13">
        <v>1297749</v>
      </c>
      <c r="C10" s="13">
        <v>2383062</v>
      </c>
      <c r="D10" s="13">
        <v>2668378</v>
      </c>
      <c r="E10" s="13">
        <v>5792387</v>
      </c>
      <c r="F10" s="13">
        <v>234830</v>
      </c>
      <c r="G10" s="13">
        <v>1330235</v>
      </c>
      <c r="H10" s="13">
        <v>1456633</v>
      </c>
      <c r="I10" s="13">
        <v>2968538</v>
      </c>
      <c r="J10" s="13">
        <v>1953558</v>
      </c>
      <c r="K10" s="13">
        <v>1630094</v>
      </c>
      <c r="L10" s="13">
        <v>3160248</v>
      </c>
      <c r="M10" s="13">
        <v>3985993</v>
      </c>
      <c r="N10" s="13">
        <v>6720091</v>
      </c>
      <c r="O10" s="13">
        <v>1072620</v>
      </c>
      <c r="P10" s="13">
        <v>1369943</v>
      </c>
      <c r="Q10" s="13">
        <v>2083896</v>
      </c>
      <c r="R10" s="13">
        <v>3277356</v>
      </c>
      <c r="S10" s="13">
        <v>1281238</v>
      </c>
      <c r="T10" s="13">
        <v>2379491</v>
      </c>
      <c r="U10" s="13">
        <v>534416</v>
      </c>
      <c r="V10" s="13">
        <v>4008256</v>
      </c>
      <c r="W10" s="13">
        <v>497587</v>
      </c>
      <c r="X10" s="13">
        <v>2722032</v>
      </c>
      <c r="Y10" s="13">
        <v>4792579</v>
      </c>
      <c r="Z10" s="13">
        <v>3246892</v>
      </c>
      <c r="AA10" s="13">
        <v>5137881</v>
      </c>
      <c r="AB10" s="13">
        <v>6247994</v>
      </c>
      <c r="AC10" s="13">
        <v>338596</v>
      </c>
      <c r="AD10" s="13">
        <v>996837</v>
      </c>
      <c r="AE10" s="2">
        <v>1276679</v>
      </c>
      <c r="AF10" s="2">
        <v>1676047</v>
      </c>
      <c r="AG10" s="2">
        <v>871964</v>
      </c>
      <c r="AH10" s="2">
        <v>1788805</v>
      </c>
      <c r="AI10" s="2">
        <v>289882</v>
      </c>
      <c r="AJ10" s="2">
        <v>886345</v>
      </c>
      <c r="AK10" s="2">
        <v>5604148</v>
      </c>
      <c r="AL10" s="2">
        <v>5344625</v>
      </c>
      <c r="AM10" s="2">
        <v>1450388</v>
      </c>
      <c r="AN10" s="2">
        <v>2085482</v>
      </c>
      <c r="AO10" s="2">
        <v>822773</v>
      </c>
      <c r="AP10" s="2">
        <v>4053880</v>
      </c>
      <c r="AQ10" s="2">
        <v>3415246</v>
      </c>
      <c r="AR10" s="2">
        <v>8058757</v>
      </c>
      <c r="AS10" s="2">
        <v>4805103</v>
      </c>
      <c r="AT10" s="2">
        <v>1656293</v>
      </c>
      <c r="AU10" s="2">
        <v>1718711</v>
      </c>
      <c r="AV10" s="2">
        <v>4628597</v>
      </c>
      <c r="AW10" s="2">
        <v>10833708</v>
      </c>
      <c r="AX10" s="2">
        <v>4212019</v>
      </c>
      <c r="AY10" s="2">
        <v>4765001</v>
      </c>
      <c r="AZ10" s="2">
        <v>610614</v>
      </c>
      <c r="BA10" s="2">
        <v>1017065</v>
      </c>
      <c r="BB10" s="2">
        <v>4155189</v>
      </c>
      <c r="BC10" s="2">
        <v>1566332</v>
      </c>
      <c r="BD10" s="2">
        <v>1776424</v>
      </c>
      <c r="BE10" s="2">
        <v>1590321</v>
      </c>
      <c r="BF10" s="2">
        <v>1373832</v>
      </c>
      <c r="BG10" s="2">
        <v>782725</v>
      </c>
      <c r="BH10" s="2">
        <v>1886219</v>
      </c>
      <c r="BI10" s="2">
        <v>5945413</v>
      </c>
    </row>
    <row r="11" spans="1:62" x14ac:dyDescent="0.25">
      <c r="A11" s="2" t="s">
        <v>16</v>
      </c>
      <c r="B11" s="13">
        <v>60001</v>
      </c>
      <c r="C11" s="13">
        <v>126293</v>
      </c>
      <c r="D11" s="13">
        <v>283494</v>
      </c>
      <c r="E11" s="13">
        <v>190081</v>
      </c>
      <c r="F11" s="13">
        <v>40463</v>
      </c>
      <c r="G11" s="13">
        <v>37630</v>
      </c>
      <c r="H11" s="13">
        <v>132047</v>
      </c>
      <c r="I11" s="13">
        <v>95055</v>
      </c>
      <c r="J11" s="13">
        <v>121679</v>
      </c>
      <c r="K11" s="13">
        <v>111563</v>
      </c>
      <c r="L11" s="13">
        <v>133068</v>
      </c>
      <c r="M11" s="13">
        <v>117773</v>
      </c>
      <c r="N11" s="13">
        <v>209121</v>
      </c>
      <c r="O11" s="13">
        <v>50173</v>
      </c>
      <c r="P11" s="13">
        <v>83990</v>
      </c>
      <c r="Q11" s="13">
        <v>95544</v>
      </c>
      <c r="R11" s="13">
        <v>111591</v>
      </c>
      <c r="S11" s="13">
        <v>76256</v>
      </c>
      <c r="T11" s="13">
        <v>116648</v>
      </c>
      <c r="U11" s="13">
        <v>60336</v>
      </c>
      <c r="V11" s="13">
        <v>152937</v>
      </c>
      <c r="W11" s="13">
        <v>83297</v>
      </c>
      <c r="X11" s="13">
        <v>93502</v>
      </c>
      <c r="Y11" s="13">
        <v>264726</v>
      </c>
      <c r="Z11" s="13">
        <v>132496</v>
      </c>
      <c r="AA11" s="13">
        <v>129824</v>
      </c>
      <c r="AB11" s="13">
        <v>185474</v>
      </c>
      <c r="AC11" s="13">
        <v>88084</v>
      </c>
      <c r="AD11" s="13">
        <v>99039</v>
      </c>
      <c r="AE11" s="2">
        <v>300184</v>
      </c>
      <c r="AF11" s="2">
        <v>147140</v>
      </c>
      <c r="AG11" s="2">
        <v>100421</v>
      </c>
      <c r="AH11" s="2">
        <v>218459</v>
      </c>
      <c r="AI11" s="2">
        <v>136814</v>
      </c>
      <c r="AJ11" s="2">
        <v>162625</v>
      </c>
      <c r="AK11" s="2">
        <v>178732</v>
      </c>
      <c r="AL11" s="2">
        <v>105277</v>
      </c>
      <c r="AM11" s="2">
        <v>71336</v>
      </c>
      <c r="AN11" s="2">
        <v>85306</v>
      </c>
      <c r="AO11" s="2">
        <v>14769</v>
      </c>
      <c r="AP11" s="2">
        <v>141674</v>
      </c>
      <c r="AQ11" s="2">
        <v>159211</v>
      </c>
      <c r="AR11" s="2">
        <v>209327</v>
      </c>
      <c r="AS11" s="2">
        <v>182013</v>
      </c>
      <c r="AT11" s="2">
        <v>36122</v>
      </c>
      <c r="AU11" s="2">
        <v>102000</v>
      </c>
      <c r="AV11" s="2">
        <v>285140</v>
      </c>
      <c r="AW11" s="2">
        <v>319994</v>
      </c>
      <c r="AX11" s="2">
        <v>265995</v>
      </c>
      <c r="AY11" s="2">
        <v>127417</v>
      </c>
      <c r="AZ11" s="2">
        <v>103067</v>
      </c>
      <c r="BA11" s="2">
        <v>88691</v>
      </c>
      <c r="BB11" s="2">
        <v>78443</v>
      </c>
      <c r="BC11" s="2">
        <v>115761</v>
      </c>
      <c r="BD11" s="2">
        <v>68015</v>
      </c>
      <c r="BE11" s="2">
        <v>141422</v>
      </c>
      <c r="BF11" s="2">
        <v>101441</v>
      </c>
      <c r="BG11" s="2">
        <v>117867</v>
      </c>
      <c r="BH11" s="2">
        <v>184652</v>
      </c>
      <c r="BI11" s="2">
        <v>200740</v>
      </c>
    </row>
    <row r="12" spans="1:62" x14ac:dyDescent="0.25">
      <c r="A12" s="2" t="s">
        <v>17</v>
      </c>
      <c r="B12" s="36">
        <v>22997841</v>
      </c>
      <c r="C12" s="36">
        <v>31464667</v>
      </c>
      <c r="D12" s="36">
        <v>19842418</v>
      </c>
      <c r="E12" s="36">
        <v>67464904</v>
      </c>
      <c r="F12" s="36">
        <v>4419289</v>
      </c>
      <c r="G12" s="36">
        <v>21744153</v>
      </c>
      <c r="H12" s="36">
        <v>19019274</v>
      </c>
      <c r="I12" s="36">
        <v>28290314</v>
      </c>
      <c r="J12" s="36">
        <v>34667217</v>
      </c>
      <c r="K12" s="36">
        <v>19502482</v>
      </c>
      <c r="L12" s="36">
        <v>45121244</v>
      </c>
      <c r="M12" s="36">
        <v>46390306</v>
      </c>
      <c r="N12" s="36">
        <v>56709504</v>
      </c>
      <c r="O12" s="36">
        <v>23171955</v>
      </c>
      <c r="P12" s="36">
        <v>24119424</v>
      </c>
      <c r="Q12" s="36">
        <v>23854022</v>
      </c>
      <c r="R12" s="36">
        <v>47285532</v>
      </c>
      <c r="S12" s="36">
        <v>21618257</v>
      </c>
      <c r="T12" s="36">
        <v>31839557</v>
      </c>
      <c r="U12" s="36">
        <v>16740892</v>
      </c>
      <c r="V12" s="36">
        <v>96173092</v>
      </c>
      <c r="W12" s="36">
        <v>10574373</v>
      </c>
      <c r="X12" s="36">
        <v>51538068</v>
      </c>
      <c r="Y12" s="36">
        <v>69845790</v>
      </c>
      <c r="Z12" s="36">
        <v>35969756</v>
      </c>
      <c r="AA12" s="36">
        <v>80083910</v>
      </c>
      <c r="AB12" s="36">
        <v>45960857</v>
      </c>
      <c r="AC12" s="36">
        <v>8036849</v>
      </c>
      <c r="AD12" s="36">
        <v>20286138</v>
      </c>
      <c r="AE12" s="36">
        <v>17532933</v>
      </c>
      <c r="AF12" s="36">
        <v>33611496</v>
      </c>
      <c r="AG12" s="36">
        <v>15567020</v>
      </c>
      <c r="AH12" s="36">
        <v>29412000</v>
      </c>
      <c r="AI12" s="36">
        <v>9018197</v>
      </c>
      <c r="AJ12" s="36">
        <v>8040955</v>
      </c>
      <c r="AK12" s="36">
        <v>69607358</v>
      </c>
      <c r="AL12" s="36">
        <v>32936152</v>
      </c>
      <c r="AM12" s="36">
        <v>24614773</v>
      </c>
      <c r="AN12" s="36">
        <v>26839761</v>
      </c>
      <c r="AO12" s="36">
        <v>14948421</v>
      </c>
      <c r="AP12" s="36">
        <v>55942880</v>
      </c>
      <c r="AQ12" s="36">
        <v>55197236</v>
      </c>
      <c r="AR12" s="36">
        <v>104192725</v>
      </c>
      <c r="AS12" s="36">
        <v>67735026</v>
      </c>
      <c r="AT12" s="36">
        <v>25099279</v>
      </c>
      <c r="AU12" s="36">
        <v>29771783</v>
      </c>
      <c r="AV12" s="36">
        <v>80092799</v>
      </c>
      <c r="AW12" s="36">
        <v>80368137</v>
      </c>
      <c r="AX12" s="36">
        <v>58805803</v>
      </c>
      <c r="AY12" s="36">
        <v>82245827</v>
      </c>
      <c r="AZ12" s="36">
        <v>10071160</v>
      </c>
      <c r="BA12" s="36">
        <v>18265442</v>
      </c>
      <c r="BB12" s="36">
        <v>51549184</v>
      </c>
      <c r="BC12" s="36">
        <v>19271509</v>
      </c>
      <c r="BD12" s="36">
        <v>22837231</v>
      </c>
      <c r="BE12" s="36">
        <v>24500359</v>
      </c>
      <c r="BF12" s="36">
        <v>18777193</v>
      </c>
      <c r="BG12" s="36">
        <v>12910901</v>
      </c>
      <c r="BH12" s="36">
        <v>36730652</v>
      </c>
      <c r="BI12" s="36">
        <v>47542495</v>
      </c>
    </row>
    <row r="13" spans="1:62" x14ac:dyDescent="0.25">
      <c r="A13" s="2" t="s">
        <v>18</v>
      </c>
      <c r="B13" s="36">
        <v>16744100</v>
      </c>
      <c r="C13" s="36">
        <v>24591846</v>
      </c>
      <c r="D13" s="36">
        <v>103681549</v>
      </c>
      <c r="E13" s="36">
        <v>52503713</v>
      </c>
      <c r="F13" s="36">
        <v>7616926</v>
      </c>
      <c r="G13" s="36">
        <v>22309371</v>
      </c>
      <c r="H13" s="36">
        <v>9067149</v>
      </c>
      <c r="I13" s="36">
        <v>36210065</v>
      </c>
      <c r="J13" s="36">
        <v>14447485</v>
      </c>
      <c r="K13" s="36">
        <v>10886167</v>
      </c>
      <c r="L13" s="36">
        <v>43221496</v>
      </c>
      <c r="M13" s="36">
        <v>82117889</v>
      </c>
      <c r="N13" s="36">
        <v>26678404</v>
      </c>
      <c r="O13" s="36">
        <v>8203719</v>
      </c>
      <c r="P13" s="36">
        <v>13069205</v>
      </c>
      <c r="Q13" s="36">
        <v>18375039</v>
      </c>
      <c r="R13" s="36">
        <v>32865081</v>
      </c>
      <c r="S13" s="36">
        <v>16600949</v>
      </c>
      <c r="T13" s="36">
        <v>27080174</v>
      </c>
      <c r="U13" s="36">
        <v>12295704</v>
      </c>
      <c r="V13" s="36">
        <v>51783203</v>
      </c>
      <c r="W13" s="36">
        <v>6573354</v>
      </c>
      <c r="X13" s="36">
        <v>23468514</v>
      </c>
      <c r="Y13" s="36">
        <v>52602289</v>
      </c>
      <c r="Z13" s="36">
        <v>25187466</v>
      </c>
      <c r="AA13" s="36">
        <v>45343903</v>
      </c>
      <c r="AB13" s="36">
        <v>94287072</v>
      </c>
      <c r="AC13" s="36">
        <v>11085895</v>
      </c>
      <c r="AD13" s="36">
        <v>10951628</v>
      </c>
      <c r="AE13" s="36">
        <v>17957244</v>
      </c>
      <c r="AF13" s="36">
        <v>31965444</v>
      </c>
      <c r="AG13" s="36">
        <v>10776925</v>
      </c>
      <c r="AH13" s="36">
        <v>69937000</v>
      </c>
      <c r="AI13" s="36">
        <v>5518111</v>
      </c>
      <c r="AJ13" s="36">
        <v>10758392</v>
      </c>
      <c r="AK13" s="36">
        <v>46147712</v>
      </c>
      <c r="AL13" s="36">
        <v>42694239</v>
      </c>
      <c r="AM13" s="36">
        <v>14784667</v>
      </c>
      <c r="AN13" s="36">
        <v>30596566</v>
      </c>
      <c r="AO13" s="36">
        <v>11585196</v>
      </c>
      <c r="AP13" s="36">
        <v>78661540</v>
      </c>
      <c r="AQ13" s="36">
        <v>28909060</v>
      </c>
      <c r="AR13" s="36">
        <v>101721298</v>
      </c>
      <c r="AS13" s="36">
        <v>40188721</v>
      </c>
      <c r="AT13" s="36">
        <v>18508870</v>
      </c>
      <c r="AU13" s="36">
        <v>13310493</v>
      </c>
      <c r="AV13" s="36">
        <v>78346563</v>
      </c>
      <c r="AW13" s="36">
        <v>51901975</v>
      </c>
      <c r="AX13" s="36">
        <v>34627377</v>
      </c>
      <c r="AY13" s="36">
        <v>62874597</v>
      </c>
      <c r="AZ13" s="36">
        <v>8578820</v>
      </c>
      <c r="BA13" s="36">
        <v>9595809</v>
      </c>
      <c r="BB13" s="36">
        <v>37963619</v>
      </c>
      <c r="BC13" s="36">
        <v>11256295</v>
      </c>
      <c r="BD13" s="36">
        <v>26792412</v>
      </c>
      <c r="BE13" s="36">
        <v>17292306</v>
      </c>
      <c r="BF13" s="36">
        <v>14342974</v>
      </c>
      <c r="BG13" s="36">
        <v>9280932</v>
      </c>
      <c r="BH13" s="36">
        <v>16987625</v>
      </c>
      <c r="BI13" s="36">
        <v>44044662</v>
      </c>
    </row>
    <row r="15" spans="1:62" ht="18.75" x14ac:dyDescent="0.3">
      <c r="A15" s="19"/>
      <c r="B15" s="20"/>
      <c r="C15" s="20"/>
      <c r="D15" s="20"/>
      <c r="E15" s="20"/>
      <c r="F15" s="20"/>
      <c r="G15" s="20"/>
      <c r="H15" s="20"/>
      <c r="I15" s="20"/>
      <c r="J15" s="20"/>
      <c r="K15" s="20"/>
      <c r="L15" s="21"/>
      <c r="M15" s="20"/>
      <c r="N15" s="20"/>
      <c r="O15" s="20"/>
      <c r="P15" s="20"/>
      <c r="Q15" s="20"/>
      <c r="R15" s="20"/>
      <c r="S15" s="20"/>
      <c r="T15" s="20"/>
      <c r="U15" s="20"/>
      <c r="V15" s="20"/>
      <c r="W15" s="20"/>
      <c r="X15" s="20"/>
      <c r="Y15" s="20"/>
      <c r="Z15" s="20"/>
      <c r="AA15" s="20"/>
      <c r="AB15" s="20"/>
      <c r="AC15" s="20"/>
      <c r="AD15" s="20"/>
    </row>
    <row r="16" spans="1:62" x14ac:dyDescent="0.25">
      <c r="B16" s="6" t="s">
        <v>2</v>
      </c>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BJ16" s="8" t="s">
        <v>3</v>
      </c>
    </row>
    <row r="17" spans="1:63" ht="16.5" thickBot="1" x14ac:dyDescent="0.3">
      <c r="B17" s="5" t="s">
        <v>20</v>
      </c>
      <c r="C17" s="5" t="s">
        <v>21</v>
      </c>
      <c r="D17" s="5" t="s">
        <v>22</v>
      </c>
      <c r="E17" s="5" t="s">
        <v>23</v>
      </c>
      <c r="F17" s="5" t="s">
        <v>24</v>
      </c>
      <c r="G17" s="5" t="s">
        <v>25</v>
      </c>
      <c r="H17" s="5" t="s">
        <v>26</v>
      </c>
      <c r="I17" s="5" t="s">
        <v>27</v>
      </c>
      <c r="J17" s="5" t="s">
        <v>28</v>
      </c>
      <c r="K17" s="5" t="s">
        <v>29</v>
      </c>
      <c r="L17" s="5" t="s">
        <v>30</v>
      </c>
      <c r="M17" s="5" t="s">
        <v>31</v>
      </c>
      <c r="N17" s="5" t="s">
        <v>32</v>
      </c>
      <c r="O17" s="5" t="s">
        <v>33</v>
      </c>
      <c r="P17" s="5" t="s">
        <v>34</v>
      </c>
      <c r="Q17" s="5" t="s">
        <v>35</v>
      </c>
      <c r="R17" s="5" t="s">
        <v>36</v>
      </c>
      <c r="S17" s="5" t="s">
        <v>37</v>
      </c>
      <c r="T17" s="5" t="s">
        <v>38</v>
      </c>
      <c r="U17" s="5" t="s">
        <v>39</v>
      </c>
      <c r="V17" s="5" t="s">
        <v>40</v>
      </c>
      <c r="W17" s="5" t="s">
        <v>41</v>
      </c>
      <c r="X17" s="5" t="s">
        <v>42</v>
      </c>
      <c r="Y17" s="5" t="s">
        <v>43</v>
      </c>
      <c r="Z17" s="5" t="s">
        <v>44</v>
      </c>
      <c r="AA17" s="5" t="s">
        <v>45</v>
      </c>
      <c r="AB17" s="5" t="s">
        <v>46</v>
      </c>
      <c r="AC17" s="5" t="s">
        <v>47</v>
      </c>
      <c r="AD17" s="5" t="s">
        <v>48</v>
      </c>
      <c r="AE17" s="5" t="s">
        <v>248</v>
      </c>
      <c r="AF17" s="5" t="s">
        <v>249</v>
      </c>
      <c r="AG17" s="5" t="s">
        <v>250</v>
      </c>
      <c r="AH17" s="5" t="s">
        <v>251</v>
      </c>
      <c r="AI17" s="5" t="s">
        <v>252</v>
      </c>
      <c r="AJ17" s="5" t="s">
        <v>253</v>
      </c>
      <c r="AK17" s="5" t="s">
        <v>254</v>
      </c>
      <c r="AL17" s="5" t="s">
        <v>255</v>
      </c>
      <c r="AM17" s="5" t="s">
        <v>256</v>
      </c>
      <c r="AN17" s="5" t="s">
        <v>257</v>
      </c>
      <c r="AO17" s="5" t="s">
        <v>258</v>
      </c>
      <c r="AP17" s="5" t="s">
        <v>259</v>
      </c>
      <c r="AQ17" s="5" t="s">
        <v>260</v>
      </c>
      <c r="AR17" s="5" t="s">
        <v>261</v>
      </c>
      <c r="AS17" s="5" t="s">
        <v>262</v>
      </c>
      <c r="AT17" s="5" t="s">
        <v>263</v>
      </c>
      <c r="AU17" s="5" t="s">
        <v>264</v>
      </c>
      <c r="AV17" s="5" t="s">
        <v>265</v>
      </c>
      <c r="AW17" s="5" t="s">
        <v>266</v>
      </c>
      <c r="AX17" s="5" t="s">
        <v>267</v>
      </c>
      <c r="AY17" s="5" t="s">
        <v>268</v>
      </c>
      <c r="AZ17" s="5" t="s">
        <v>269</v>
      </c>
      <c r="BA17" s="5" t="s">
        <v>270</v>
      </c>
      <c r="BB17" s="5" t="s">
        <v>271</v>
      </c>
      <c r="BC17" s="5" t="s">
        <v>272</v>
      </c>
      <c r="BD17" s="5" t="s">
        <v>273</v>
      </c>
      <c r="BE17" s="5" t="s">
        <v>274</v>
      </c>
      <c r="BF17" s="5" t="s">
        <v>275</v>
      </c>
      <c r="BG17" s="5" t="s">
        <v>276</v>
      </c>
      <c r="BH17" s="5" t="s">
        <v>277</v>
      </c>
      <c r="BI17" s="5" t="s">
        <v>278</v>
      </c>
      <c r="BJ17" s="5" t="s">
        <v>4</v>
      </c>
    </row>
    <row r="18" spans="1:63" ht="16.5" thickBot="1" x14ac:dyDescent="0.3">
      <c r="A18" s="7" t="s">
        <v>5</v>
      </c>
      <c r="B18" s="9">
        <v>0</v>
      </c>
      <c r="C18" s="10">
        <v>0</v>
      </c>
      <c r="D18" s="10">
        <v>0</v>
      </c>
      <c r="E18" s="10">
        <v>0</v>
      </c>
      <c r="F18" s="10">
        <v>0</v>
      </c>
      <c r="G18" s="10">
        <v>0</v>
      </c>
      <c r="H18" s="10">
        <v>0.15195503137159147</v>
      </c>
      <c r="I18" s="10">
        <v>0</v>
      </c>
      <c r="J18" s="10">
        <v>0</v>
      </c>
      <c r="K18" s="10">
        <v>0</v>
      </c>
      <c r="L18" s="10">
        <v>0</v>
      </c>
      <c r="M18" s="10">
        <v>0</v>
      </c>
      <c r="N18" s="10">
        <v>0</v>
      </c>
      <c r="O18" s="10">
        <v>0</v>
      </c>
      <c r="P18" s="10">
        <v>0</v>
      </c>
      <c r="Q18" s="10">
        <v>0</v>
      </c>
      <c r="R18" s="10">
        <v>0</v>
      </c>
      <c r="S18" s="10">
        <v>0.23169693568028751</v>
      </c>
      <c r="T18" s="10">
        <v>0</v>
      </c>
      <c r="U18" s="10">
        <v>0</v>
      </c>
      <c r="V18" s="10">
        <v>0</v>
      </c>
      <c r="W18" s="10">
        <v>0</v>
      </c>
      <c r="X18" s="10">
        <v>0</v>
      </c>
      <c r="Y18" s="10">
        <v>0</v>
      </c>
      <c r="Z18" s="10">
        <v>2.299180042170651E-2</v>
      </c>
      <c r="AA18" s="10">
        <v>0</v>
      </c>
      <c r="AB18" s="10">
        <v>0</v>
      </c>
      <c r="AC18" s="10">
        <v>0</v>
      </c>
      <c r="AD18" s="10">
        <v>0</v>
      </c>
      <c r="AE18" s="10">
        <v>0</v>
      </c>
      <c r="AF18" s="10">
        <v>0</v>
      </c>
      <c r="AG18" s="10">
        <v>0</v>
      </c>
      <c r="AH18" s="10">
        <v>0</v>
      </c>
      <c r="AI18" s="10">
        <v>0.55982557792930798</v>
      </c>
      <c r="AJ18" s="10">
        <v>0</v>
      </c>
      <c r="AK18" s="10">
        <v>0</v>
      </c>
      <c r="AL18" s="10">
        <v>0</v>
      </c>
      <c r="AM18" s="10">
        <v>0</v>
      </c>
      <c r="AN18" s="10">
        <v>0</v>
      </c>
      <c r="AO18" s="10">
        <v>3.3530654597106621E-2</v>
      </c>
      <c r="AP18" s="10">
        <v>0</v>
      </c>
      <c r="AQ18" s="10">
        <v>0</v>
      </c>
      <c r="AR18" s="10">
        <v>0</v>
      </c>
      <c r="AS18" s="10">
        <v>0</v>
      </c>
      <c r="AT18" s="10">
        <v>0</v>
      </c>
      <c r="AU18" s="10">
        <v>0</v>
      </c>
      <c r="AV18" s="10">
        <v>0</v>
      </c>
      <c r="AW18" s="10">
        <v>0</v>
      </c>
      <c r="AX18" s="10">
        <v>0</v>
      </c>
      <c r="AY18" s="10">
        <v>0</v>
      </c>
      <c r="AZ18" s="10">
        <v>0</v>
      </c>
      <c r="BA18" s="10">
        <v>0</v>
      </c>
      <c r="BB18" s="10">
        <v>0</v>
      </c>
      <c r="BC18" s="10">
        <v>0</v>
      </c>
      <c r="BD18" s="10">
        <v>0</v>
      </c>
      <c r="BE18" s="10">
        <v>0</v>
      </c>
      <c r="BF18" s="10">
        <v>0</v>
      </c>
      <c r="BG18" s="10">
        <v>0</v>
      </c>
      <c r="BH18" s="10">
        <v>0</v>
      </c>
      <c r="BI18" s="10">
        <v>0</v>
      </c>
      <c r="BJ18" s="11">
        <v>0.78666043407576991</v>
      </c>
    </row>
    <row r="20" spans="1:63" x14ac:dyDescent="0.25">
      <c r="B20" s="8" t="s">
        <v>6</v>
      </c>
      <c r="C20" s="8"/>
      <c r="D20" s="8" t="s">
        <v>7</v>
      </c>
      <c r="E20" s="8"/>
      <c r="H20" s="8"/>
      <c r="I20" s="8"/>
      <c r="J20" s="8"/>
      <c r="K20" s="8"/>
      <c r="L20" s="8"/>
      <c r="M20" s="8"/>
      <c r="N20" s="8"/>
      <c r="O20" s="8"/>
      <c r="P20" s="8"/>
      <c r="Q20" s="8"/>
      <c r="R20" s="8"/>
      <c r="S20" s="8"/>
      <c r="T20" s="8"/>
      <c r="U20" s="8"/>
      <c r="V20" s="8"/>
      <c r="W20" s="8"/>
      <c r="X20" s="8"/>
      <c r="Y20" s="8"/>
      <c r="Z20" s="8"/>
      <c r="AA20" s="8"/>
      <c r="AB20" s="8"/>
      <c r="AC20" s="8"/>
      <c r="BJ20" s="8" t="s">
        <v>8</v>
      </c>
      <c r="BK20" s="12">
        <f>BJ18</f>
        <v>0.78666043407576991</v>
      </c>
    </row>
    <row r="21" spans="1:63" x14ac:dyDescent="0.25">
      <c r="A21" s="2" t="s">
        <v>9</v>
      </c>
      <c r="B21" s="23">
        <f>SUM(B18:BI18)</f>
        <v>1</v>
      </c>
      <c r="C21" s="8" t="s">
        <v>10</v>
      </c>
      <c r="D21" s="23">
        <v>1</v>
      </c>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row>
    <row r="22" spans="1:63" x14ac:dyDescent="0.25">
      <c r="A22" s="2" t="s">
        <v>15</v>
      </c>
      <c r="B22" s="23">
        <f>SUMPRODUCT(B10:BI10,$B$18:$BI$18)</f>
        <v>782725</v>
      </c>
      <c r="C22" s="8" t="s">
        <v>11</v>
      </c>
      <c r="D22" s="23">
        <f>INDEX($B$10:$BI$13,1,MATCH($F$2,$B$9:$BI$9,0))</f>
        <v>782725</v>
      </c>
      <c r="E22" s="17"/>
      <c r="F22" s="17"/>
      <c r="G22" s="17"/>
      <c r="H22" s="17"/>
      <c r="I22" s="17"/>
      <c r="J22" s="17"/>
      <c r="K22" s="17"/>
      <c r="L22" s="17"/>
      <c r="M22" s="17"/>
      <c r="N22" s="17"/>
      <c r="O22" s="17"/>
      <c r="P22" s="17"/>
      <c r="Q22" s="17"/>
      <c r="R22" s="17"/>
      <c r="S22" s="17"/>
      <c r="T22" s="17"/>
      <c r="U22" s="17"/>
      <c r="V22" s="17"/>
      <c r="W22" s="17"/>
      <c r="X22" s="17"/>
      <c r="Y22" s="17"/>
      <c r="Z22" s="17"/>
      <c r="AA22" s="16"/>
      <c r="AB22" s="16"/>
      <c r="AC22" s="16"/>
      <c r="AD22" s="16"/>
    </row>
    <row r="23" spans="1:63" x14ac:dyDescent="0.25">
      <c r="A23" s="2" t="s">
        <v>16</v>
      </c>
      <c r="B23" s="23">
        <f>SUMPRODUCT(B11:BI11,$B$18:$BI$18)</f>
        <v>117866.99999999999</v>
      </c>
      <c r="C23" s="8" t="s">
        <v>11</v>
      </c>
      <c r="D23" s="23">
        <f>INDEX($B$10:$BI$13,2,MATCH($F$2,$B$9:$BI$9,0))</f>
        <v>117867</v>
      </c>
      <c r="E23" s="17"/>
      <c r="F23" s="17"/>
      <c r="G23" s="17"/>
      <c r="H23" s="17"/>
      <c r="I23" s="17"/>
      <c r="J23" s="17"/>
      <c r="K23" s="17"/>
      <c r="L23" s="17"/>
      <c r="M23" s="17"/>
      <c r="N23" s="17"/>
      <c r="O23" s="17"/>
      <c r="P23" s="17"/>
      <c r="Q23" s="17"/>
      <c r="R23" s="17"/>
      <c r="S23" s="17"/>
      <c r="T23" s="17"/>
      <c r="U23" s="17"/>
      <c r="V23" s="17"/>
      <c r="W23" s="17"/>
      <c r="X23" s="17"/>
      <c r="Y23" s="17"/>
      <c r="Z23" s="17"/>
      <c r="AA23" s="16"/>
      <c r="AB23" s="16"/>
      <c r="AC23" s="16"/>
      <c r="AD23" s="16"/>
    </row>
    <row r="24" spans="1:63" x14ac:dyDescent="0.25">
      <c r="A24" s="2" t="s">
        <v>17</v>
      </c>
      <c r="B24" s="23">
        <f>SUMPRODUCT(B12:BI12,$B$18:$BI$18)</f>
        <v>14275815.418881787</v>
      </c>
      <c r="C24" s="8" t="s">
        <v>11</v>
      </c>
      <c r="D24" s="23">
        <f>INDEX($B$10:$BI$13,3,MATCH($F$2,$B$9:$BI$9,0))</f>
        <v>12910901</v>
      </c>
      <c r="E24" s="18"/>
      <c r="F24" s="18"/>
      <c r="G24" s="18"/>
      <c r="H24" s="18"/>
      <c r="I24" s="18"/>
      <c r="J24" s="18"/>
      <c r="K24" s="18"/>
      <c r="L24" s="18"/>
      <c r="M24" s="18"/>
      <c r="N24" s="18"/>
      <c r="O24" s="18"/>
      <c r="P24" s="18"/>
      <c r="Q24" s="18"/>
      <c r="R24" s="18"/>
      <c r="S24" s="18"/>
      <c r="T24" s="18"/>
      <c r="U24" s="18"/>
      <c r="V24" s="18"/>
      <c r="W24" s="18"/>
      <c r="X24" s="18"/>
      <c r="Y24" s="18"/>
      <c r="Z24" s="18"/>
      <c r="AA24" s="16"/>
      <c r="AB24" s="16"/>
      <c r="AC24" s="16"/>
      <c r="AD24" s="16"/>
    </row>
    <row r="25" spans="1:63" x14ac:dyDescent="0.25">
      <c r="A25" s="2" t="s">
        <v>18</v>
      </c>
      <c r="B25" s="23">
        <f>SUMPRODUCT(B13:BI13,$B$18:$BI$18)</f>
        <v>9280931.9999999981</v>
      </c>
      <c r="C25" s="8" t="s">
        <v>11</v>
      </c>
      <c r="D25" s="23">
        <f>INDEX($B$10:$BI$13,4,MATCH($F$2,$B$9:$BI$9,0))</f>
        <v>9280932</v>
      </c>
      <c r="E25" s="18"/>
      <c r="F25" s="18"/>
      <c r="G25" s="18"/>
      <c r="H25" s="18"/>
      <c r="I25" s="18"/>
      <c r="J25" s="18"/>
      <c r="K25" s="18"/>
      <c r="L25" s="18"/>
      <c r="M25" s="18"/>
      <c r="N25" s="18"/>
      <c r="O25" s="18"/>
      <c r="P25" s="18"/>
      <c r="Q25" s="18"/>
      <c r="R25" s="18"/>
      <c r="S25" s="18"/>
      <c r="T25" s="18"/>
      <c r="U25" s="18"/>
      <c r="V25" s="18"/>
      <c r="W25" s="18"/>
      <c r="X25" s="18"/>
      <c r="Y25" s="18"/>
      <c r="Z25" s="18"/>
      <c r="AA25" s="16"/>
      <c r="AB25" s="16"/>
      <c r="AC25" s="16"/>
      <c r="AD25" s="16"/>
    </row>
    <row r="26" spans="1:63" x14ac:dyDescent="0.25">
      <c r="A26" s="2" t="s">
        <v>13</v>
      </c>
      <c r="B26" s="23">
        <f>SUMPRODUCT(B5:BI5,$B$18:$BI$18)</f>
        <v>103.05251686392589</v>
      </c>
      <c r="C26" s="8" t="s">
        <v>12</v>
      </c>
      <c r="D26" s="23">
        <f>INDEX($B$5:$BI$6,1,MATCH($F$2,$B$4:$BI$4,0))*BJ18</f>
        <v>103.05251686392586</v>
      </c>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row>
    <row r="27" spans="1:63" x14ac:dyDescent="0.25">
      <c r="A27" s="2" t="s">
        <v>14</v>
      </c>
      <c r="B27" s="23">
        <f>SUMPRODUCT(B6:BI6,$B$18:$BI$18)</f>
        <v>14802719.186975388</v>
      </c>
      <c r="C27" s="8" t="s">
        <v>12</v>
      </c>
      <c r="D27" s="23">
        <f>INDEX($B$5:$BI$6,2,MATCH($F$2,$B$4:$BI$4,0))*BJ18</f>
        <v>14802719.186975384</v>
      </c>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row>
    <row r="28" spans="1:63" x14ac:dyDescent="0.25">
      <c r="E28" s="16"/>
      <c r="F28" s="16"/>
      <c r="G28" s="149" t="s">
        <v>312</v>
      </c>
      <c r="H28" s="149"/>
      <c r="I28" s="149"/>
      <c r="J28" s="149"/>
      <c r="K28" s="16"/>
      <c r="L28" s="16"/>
      <c r="M28" s="16"/>
      <c r="N28" s="16"/>
      <c r="O28" s="16"/>
      <c r="P28" s="16"/>
      <c r="Q28" s="16"/>
      <c r="R28" s="16"/>
      <c r="S28" s="16"/>
      <c r="T28" s="16"/>
      <c r="U28" s="16"/>
      <c r="V28" s="16"/>
      <c r="W28" s="16"/>
      <c r="X28" s="16"/>
      <c r="Y28" s="16"/>
      <c r="Z28" s="16"/>
      <c r="AA28" s="16"/>
      <c r="AB28" s="16"/>
      <c r="AC28" s="16"/>
      <c r="AD28" s="16"/>
    </row>
    <row r="29" spans="1:63" x14ac:dyDescent="0.25">
      <c r="A29"/>
      <c r="G29" s="149"/>
      <c r="H29" s="149"/>
      <c r="I29" s="149"/>
      <c r="J29" s="149"/>
    </row>
    <row r="32" spans="1:63" x14ac:dyDescent="0.25">
      <c r="A32" s="24" t="s">
        <v>19</v>
      </c>
      <c r="B32" s="24" t="s">
        <v>3</v>
      </c>
      <c r="C32"/>
      <c r="D32" s="148" t="s">
        <v>242</v>
      </c>
      <c r="E32" s="146" t="s">
        <v>241</v>
      </c>
      <c r="F32" s="146"/>
    </row>
    <row r="33" spans="1:9" x14ac:dyDescent="0.25">
      <c r="A33" s="25" t="s">
        <v>55</v>
      </c>
      <c r="B33" s="50">
        <v>0.68799999999999994</v>
      </c>
      <c r="D33" s="148"/>
      <c r="E33" s="29" t="s">
        <v>238</v>
      </c>
      <c r="F33" s="27" t="s">
        <v>239</v>
      </c>
    </row>
    <row r="34" spans="1:9" x14ac:dyDescent="0.25">
      <c r="A34" s="25" t="s">
        <v>57</v>
      </c>
      <c r="B34" s="50">
        <v>0.85399999999999998</v>
      </c>
      <c r="D34" s="148"/>
      <c r="E34" s="29" t="s">
        <v>235</v>
      </c>
      <c r="F34" s="27">
        <f>COUNTIF(B33:B92,1)</f>
        <v>23</v>
      </c>
    </row>
    <row r="35" spans="1:9" x14ac:dyDescent="0.25">
      <c r="A35" s="25" t="s">
        <v>59</v>
      </c>
      <c r="B35" s="48">
        <v>1</v>
      </c>
      <c r="D35" s="148"/>
      <c r="E35" s="29" t="s">
        <v>236</v>
      </c>
      <c r="F35" s="49">
        <f>COUNTA(B33:B92)-F34</f>
        <v>37</v>
      </c>
    </row>
    <row r="36" spans="1:9" x14ac:dyDescent="0.25">
      <c r="A36" s="25" t="s">
        <v>61</v>
      </c>
      <c r="B36" s="50">
        <v>0.74299999999999999</v>
      </c>
      <c r="D36" s="148"/>
      <c r="E36" s="30" t="s">
        <v>240</v>
      </c>
      <c r="F36" s="28">
        <f>SUM(F34:F35)</f>
        <v>60</v>
      </c>
    </row>
    <row r="37" spans="1:9" x14ac:dyDescent="0.25">
      <c r="A37" s="25" t="s">
        <v>65</v>
      </c>
      <c r="B37" s="48">
        <v>1</v>
      </c>
      <c r="D37" s="148"/>
    </row>
    <row r="38" spans="1:9" x14ac:dyDescent="0.25">
      <c r="A38" s="25" t="s">
        <v>67</v>
      </c>
      <c r="B38" s="50">
        <v>0.86599999999999999</v>
      </c>
      <c r="D38" s="148"/>
      <c r="E38" s="146" t="s">
        <v>237</v>
      </c>
      <c r="F38" s="146"/>
    </row>
    <row r="39" spans="1:9" x14ac:dyDescent="0.25">
      <c r="A39" s="25" t="s">
        <v>69</v>
      </c>
      <c r="B39" s="50">
        <v>1</v>
      </c>
      <c r="D39" s="148"/>
      <c r="E39" s="29" t="s">
        <v>238</v>
      </c>
      <c r="F39" s="27" t="s">
        <v>3</v>
      </c>
    </row>
    <row r="40" spans="1:9" x14ac:dyDescent="0.25">
      <c r="A40" s="25" t="s">
        <v>71</v>
      </c>
      <c r="B40" s="50">
        <v>1</v>
      </c>
      <c r="D40" s="148"/>
      <c r="E40" s="25" t="s">
        <v>83</v>
      </c>
      <c r="F40" s="26">
        <v>0.51900000000000002</v>
      </c>
    </row>
    <row r="41" spans="1:9" x14ac:dyDescent="0.25">
      <c r="A41" s="25" t="s">
        <v>73</v>
      </c>
      <c r="B41" s="50">
        <v>0.77200000000000002</v>
      </c>
      <c r="D41" s="148"/>
      <c r="E41" s="25" t="s">
        <v>189</v>
      </c>
      <c r="F41" s="27">
        <v>0.57599999999999996</v>
      </c>
    </row>
    <row r="42" spans="1:9" x14ac:dyDescent="0.25">
      <c r="A42" s="25" t="s">
        <v>75</v>
      </c>
      <c r="B42" s="50">
        <v>1</v>
      </c>
      <c r="D42" s="148"/>
      <c r="E42" s="25" t="s">
        <v>105</v>
      </c>
      <c r="F42" s="26">
        <v>0.59</v>
      </c>
    </row>
    <row r="43" spans="1:9" x14ac:dyDescent="0.25">
      <c r="A43" s="25" t="s">
        <v>83</v>
      </c>
      <c r="B43" s="50">
        <v>0.51900000000000002</v>
      </c>
      <c r="D43" s="148"/>
      <c r="E43" s="25" t="s">
        <v>167</v>
      </c>
      <c r="F43" s="27">
        <v>0.59299999999999997</v>
      </c>
    </row>
    <row r="44" spans="1:9" x14ac:dyDescent="0.25">
      <c r="A44" s="25" t="s">
        <v>85</v>
      </c>
      <c r="B44" s="50">
        <v>0.84</v>
      </c>
      <c r="D44" s="148"/>
      <c r="E44" s="25" t="s">
        <v>97</v>
      </c>
      <c r="F44" s="26">
        <v>0.61199999999999999</v>
      </c>
    </row>
    <row r="45" spans="1:9" x14ac:dyDescent="0.25">
      <c r="A45" s="25" t="s">
        <v>87</v>
      </c>
      <c r="B45" s="50">
        <v>1</v>
      </c>
    </row>
    <row r="46" spans="1:9" x14ac:dyDescent="0.25">
      <c r="A46" s="25" t="s">
        <v>91</v>
      </c>
      <c r="B46" s="50">
        <v>0.70399999999999996</v>
      </c>
      <c r="E46" s="146" t="s">
        <v>243</v>
      </c>
      <c r="F46" s="146"/>
      <c r="G46" s="147" t="s">
        <v>167</v>
      </c>
      <c r="H46" s="147"/>
      <c r="I46" s="2" t="s">
        <v>309</v>
      </c>
    </row>
    <row r="47" spans="1:9" x14ac:dyDescent="0.25">
      <c r="A47" s="25" t="s">
        <v>97</v>
      </c>
      <c r="B47" s="50">
        <v>0.61199999999999999</v>
      </c>
    </row>
    <row r="48" spans="1:9" x14ac:dyDescent="0.25">
      <c r="A48" s="25" t="s">
        <v>99</v>
      </c>
      <c r="B48" s="50">
        <v>0.96199999999999997</v>
      </c>
    </row>
    <row r="49" spans="1:8" x14ac:dyDescent="0.25">
      <c r="A49" s="25" t="s">
        <v>105</v>
      </c>
      <c r="B49" s="50">
        <v>0.59</v>
      </c>
      <c r="D49" s="148" t="s">
        <v>247</v>
      </c>
      <c r="E49" s="44" t="s">
        <v>245</v>
      </c>
      <c r="F49" s="44" t="s">
        <v>311</v>
      </c>
      <c r="G49" s="44" t="s">
        <v>310</v>
      </c>
      <c r="H49" s="44" t="s">
        <v>298</v>
      </c>
    </row>
    <row r="50" spans="1:8" x14ac:dyDescent="0.25">
      <c r="A50" s="25" t="s">
        <v>109</v>
      </c>
      <c r="B50" s="50">
        <v>1</v>
      </c>
      <c r="D50" s="148"/>
      <c r="E50" s="27" t="s">
        <v>301</v>
      </c>
      <c r="F50" s="45">
        <v>3.9254229742490109E-3</v>
      </c>
      <c r="G50" s="45">
        <v>2.2037834231037725E-3</v>
      </c>
      <c r="H50" s="46">
        <v>-0.43858701659395383</v>
      </c>
    </row>
    <row r="51" spans="1:8" x14ac:dyDescent="0.25">
      <c r="A51" s="25" t="s">
        <v>111</v>
      </c>
      <c r="B51" s="50">
        <v>0.74199999999999999</v>
      </c>
      <c r="D51" s="148"/>
      <c r="E51" s="27" t="s">
        <v>302</v>
      </c>
      <c r="F51" s="47">
        <v>0.8797179888151565</v>
      </c>
      <c r="G51" s="47">
        <v>0.76042431172006164</v>
      </c>
      <c r="H51" s="46">
        <v>-0.13560445348601424</v>
      </c>
    </row>
    <row r="52" spans="1:8" x14ac:dyDescent="0.25">
      <c r="A52" s="25" t="s">
        <v>117</v>
      </c>
      <c r="B52" s="50">
        <v>0.95199999999999996</v>
      </c>
      <c r="D52" s="148"/>
      <c r="E52" s="27" t="s">
        <v>303</v>
      </c>
      <c r="F52" s="47">
        <v>0.7096847894694045</v>
      </c>
      <c r="G52" s="47">
        <v>0.45674279537273443</v>
      </c>
      <c r="H52" s="46">
        <v>-0.35641456298617025</v>
      </c>
    </row>
    <row r="53" spans="1:8" x14ac:dyDescent="0.25">
      <c r="A53" s="25" t="s">
        <v>119</v>
      </c>
      <c r="B53" s="50">
        <v>1</v>
      </c>
      <c r="D53" s="148"/>
      <c r="E53" s="27" t="s">
        <v>304</v>
      </c>
      <c r="F53" s="27">
        <v>6.246603360511762E-2</v>
      </c>
      <c r="G53" s="27">
        <v>4.4806844110528127E-2</v>
      </c>
      <c r="H53" s="46">
        <v>-0.28270066907438063</v>
      </c>
    </row>
    <row r="54" spans="1:8" x14ac:dyDescent="0.25">
      <c r="A54" s="25" t="s">
        <v>121</v>
      </c>
      <c r="B54" s="50">
        <v>0.97099999999999997</v>
      </c>
      <c r="D54" s="148"/>
      <c r="E54" s="27" t="s">
        <v>305</v>
      </c>
      <c r="F54" s="47">
        <v>663.76258746599581</v>
      </c>
      <c r="G54" s="47">
        <v>354.90547263681594</v>
      </c>
      <c r="H54" s="46">
        <v>-0.46531262933676931</v>
      </c>
    </row>
    <row r="55" spans="1:8" x14ac:dyDescent="0.25">
      <c r="A55" s="25" t="s">
        <v>123</v>
      </c>
      <c r="B55" s="50">
        <v>0.755</v>
      </c>
      <c r="D55" s="148"/>
      <c r="E55" s="27" t="s">
        <v>306</v>
      </c>
      <c r="F55" s="47">
        <v>162679.53742790828</v>
      </c>
      <c r="G55" s="47">
        <v>122461.55721393035</v>
      </c>
      <c r="H55" s="46">
        <v>-0.24722212055588488</v>
      </c>
    </row>
    <row r="56" spans="1:8" x14ac:dyDescent="0.25">
      <c r="A56" s="25" t="s">
        <v>127</v>
      </c>
      <c r="B56" s="50">
        <v>1</v>
      </c>
      <c r="D56" s="148"/>
      <c r="E56" s="27" t="s">
        <v>307</v>
      </c>
      <c r="F56" s="47">
        <v>132873.66690870124</v>
      </c>
      <c r="G56" s="47">
        <v>73555.557213930355</v>
      </c>
      <c r="H56" s="46">
        <v>-0.44642487164540223</v>
      </c>
    </row>
    <row r="57" spans="1:8" x14ac:dyDescent="0.25">
      <c r="A57" s="25" t="s">
        <v>129</v>
      </c>
      <c r="B57" s="50">
        <v>1</v>
      </c>
      <c r="D57" s="148"/>
      <c r="E57" s="27" t="s">
        <v>308</v>
      </c>
      <c r="F57" s="47">
        <v>11886.939943995309</v>
      </c>
      <c r="G57" s="47">
        <v>7215.8606965174131</v>
      </c>
      <c r="H57" s="46">
        <v>-0.39295893387915137</v>
      </c>
    </row>
    <row r="58" spans="1:8" x14ac:dyDescent="0.25">
      <c r="A58" s="25" t="s">
        <v>131</v>
      </c>
      <c r="B58" s="50">
        <v>0.72299999999999998</v>
      </c>
      <c r="D58"/>
    </row>
    <row r="59" spans="1:8" x14ac:dyDescent="0.25">
      <c r="A59" s="25" t="s">
        <v>135</v>
      </c>
      <c r="B59" s="50">
        <v>1</v>
      </c>
    </row>
    <row r="60" spans="1:8" x14ac:dyDescent="0.25">
      <c r="A60" s="25" t="s">
        <v>137</v>
      </c>
      <c r="B60" s="50">
        <v>1</v>
      </c>
    </row>
    <row r="61" spans="1:8" x14ac:dyDescent="0.25">
      <c r="A61" s="25" t="s">
        <v>139</v>
      </c>
      <c r="B61" s="50">
        <v>0.76700000000000002</v>
      </c>
    </row>
    <row r="62" spans="1:8" x14ac:dyDescent="0.25">
      <c r="A62" s="25" t="s">
        <v>141</v>
      </c>
      <c r="B62" s="48">
        <v>1</v>
      </c>
    </row>
    <row r="63" spans="1:8" x14ac:dyDescent="0.25">
      <c r="A63" s="25" t="s">
        <v>145</v>
      </c>
      <c r="B63" s="48">
        <v>0.90400000000000003</v>
      </c>
    </row>
    <row r="64" spans="1:8" x14ac:dyDescent="0.25">
      <c r="A64" s="25" t="s">
        <v>149</v>
      </c>
      <c r="B64" s="48">
        <v>0.78400000000000003</v>
      </c>
    </row>
    <row r="65" spans="1:2" x14ac:dyDescent="0.25">
      <c r="A65" s="25" t="s">
        <v>151</v>
      </c>
      <c r="B65" s="48">
        <v>0.93500000000000005</v>
      </c>
    </row>
    <row r="66" spans="1:2" x14ac:dyDescent="0.25">
      <c r="A66" s="25" t="s">
        <v>157</v>
      </c>
      <c r="B66" s="48">
        <v>1</v>
      </c>
    </row>
    <row r="67" spans="1:2" x14ac:dyDescent="0.25">
      <c r="A67" s="25" t="s">
        <v>159</v>
      </c>
      <c r="B67" s="48">
        <v>1</v>
      </c>
    </row>
    <row r="68" spans="1:2" x14ac:dyDescent="0.25">
      <c r="A68" s="25" t="s">
        <v>161</v>
      </c>
      <c r="B68" s="48">
        <v>0.82399999999999995</v>
      </c>
    </row>
    <row r="69" spans="1:2" x14ac:dyDescent="0.25">
      <c r="A69" s="25" t="s">
        <v>163</v>
      </c>
      <c r="B69" s="48">
        <v>1</v>
      </c>
    </row>
    <row r="70" spans="1:2" x14ac:dyDescent="0.25">
      <c r="A70" s="25" t="s">
        <v>167</v>
      </c>
      <c r="B70" s="48">
        <v>0.59299999999999997</v>
      </c>
    </row>
    <row r="71" spans="1:2" x14ac:dyDescent="0.25">
      <c r="A71" s="25" t="s">
        <v>171</v>
      </c>
      <c r="B71" s="48">
        <v>0.66500000000000004</v>
      </c>
    </row>
    <row r="72" spans="1:2" x14ac:dyDescent="0.25">
      <c r="A72" s="25" t="s">
        <v>179</v>
      </c>
      <c r="B72" s="48">
        <v>1</v>
      </c>
    </row>
    <row r="73" spans="1:2" x14ac:dyDescent="0.25">
      <c r="A73" s="25" t="s">
        <v>181</v>
      </c>
      <c r="B73" s="48">
        <v>0.69299999999999995</v>
      </c>
    </row>
    <row r="74" spans="1:2" x14ac:dyDescent="0.25">
      <c r="A74" s="25" t="s">
        <v>183</v>
      </c>
      <c r="B74" s="48">
        <v>0.69199999999999995</v>
      </c>
    </row>
    <row r="75" spans="1:2" x14ac:dyDescent="0.25">
      <c r="A75" s="25" t="s">
        <v>185</v>
      </c>
      <c r="B75" s="48">
        <v>1</v>
      </c>
    </row>
    <row r="76" spans="1:2" x14ac:dyDescent="0.25">
      <c r="A76" s="25" t="s">
        <v>187</v>
      </c>
      <c r="B76" s="48">
        <v>0.97699999999999998</v>
      </c>
    </row>
    <row r="77" spans="1:2" x14ac:dyDescent="0.25">
      <c r="A77" s="25" t="s">
        <v>189</v>
      </c>
      <c r="B77" s="48">
        <v>0.57599999999999996</v>
      </c>
    </row>
    <row r="78" spans="1:2" x14ac:dyDescent="0.25">
      <c r="A78" s="25" t="s">
        <v>191</v>
      </c>
      <c r="B78" s="48">
        <v>1</v>
      </c>
    </row>
    <row r="79" spans="1:2" x14ac:dyDescent="0.25">
      <c r="A79" s="25" t="s">
        <v>195</v>
      </c>
      <c r="B79" s="48">
        <v>1</v>
      </c>
    </row>
    <row r="80" spans="1:2" x14ac:dyDescent="0.25">
      <c r="A80" s="25" t="s">
        <v>197</v>
      </c>
      <c r="B80" s="48">
        <v>1</v>
      </c>
    </row>
    <row r="81" spans="1:2" x14ac:dyDescent="0.25">
      <c r="A81" s="25" t="s">
        <v>199</v>
      </c>
      <c r="B81" s="48">
        <v>0.94499999999999995</v>
      </c>
    </row>
    <row r="82" spans="1:2" x14ac:dyDescent="0.25">
      <c r="A82" s="25" t="s">
        <v>205</v>
      </c>
      <c r="B82" s="48">
        <v>1</v>
      </c>
    </row>
    <row r="83" spans="1:2" x14ac:dyDescent="0.25">
      <c r="A83" s="25" t="s">
        <v>207</v>
      </c>
      <c r="B83" s="48">
        <v>0.80900000000000005</v>
      </c>
    </row>
    <row r="84" spans="1:2" x14ac:dyDescent="0.25">
      <c r="A84" s="25" t="s">
        <v>209</v>
      </c>
      <c r="B84" s="48">
        <v>0.70899999999999996</v>
      </c>
    </row>
    <row r="85" spans="1:2" x14ac:dyDescent="0.25">
      <c r="A85" s="25" t="s">
        <v>213</v>
      </c>
      <c r="B85" s="48">
        <v>0.64100000000000001</v>
      </c>
    </row>
    <row r="86" spans="1:2" x14ac:dyDescent="0.25">
      <c r="A86" s="25" t="s">
        <v>215</v>
      </c>
      <c r="B86" s="48">
        <v>0.82299999999999995</v>
      </c>
    </row>
    <row r="87" spans="1:2" x14ac:dyDescent="0.25">
      <c r="A87" s="25" t="s">
        <v>219</v>
      </c>
      <c r="B87" s="48">
        <v>0.91300000000000003</v>
      </c>
    </row>
    <row r="88" spans="1:2" x14ac:dyDescent="0.25">
      <c r="A88" s="25" t="s">
        <v>221</v>
      </c>
      <c r="B88" s="48">
        <v>0.745</v>
      </c>
    </row>
    <row r="89" spans="1:2" x14ac:dyDescent="0.25">
      <c r="A89" s="25" t="s">
        <v>223</v>
      </c>
      <c r="B89" s="48">
        <v>0.86299999999999999</v>
      </c>
    </row>
    <row r="90" spans="1:2" x14ac:dyDescent="0.25">
      <c r="A90" s="25" t="s">
        <v>227</v>
      </c>
      <c r="B90" s="48">
        <v>0.78700000000000003</v>
      </c>
    </row>
    <row r="91" spans="1:2" x14ac:dyDescent="0.25">
      <c r="A91" s="25" t="s">
        <v>229</v>
      </c>
      <c r="B91" s="48">
        <v>1</v>
      </c>
    </row>
    <row r="92" spans="1:2" x14ac:dyDescent="0.25">
      <c r="A92" s="25" t="s">
        <v>231</v>
      </c>
      <c r="B92" s="48">
        <v>0.83499999999999996</v>
      </c>
    </row>
  </sheetData>
  <autoFilter ref="A32:B32" xr:uid="{BA3DF356-6933-4684-AEA9-6EA5661AD97E}">
    <sortState xmlns:xlrd2="http://schemas.microsoft.com/office/spreadsheetml/2017/richdata2" ref="A33:B92">
      <sortCondition ref="A32"/>
    </sortState>
  </autoFilter>
  <mergeCells count="10">
    <mergeCell ref="B2:C2"/>
    <mergeCell ref="D2:E2"/>
    <mergeCell ref="D32:D44"/>
    <mergeCell ref="E32:F32"/>
    <mergeCell ref="E38:F38"/>
    <mergeCell ref="E46:F46"/>
    <mergeCell ref="G46:H46"/>
    <mergeCell ref="D49:D57"/>
    <mergeCell ref="G28:J29"/>
    <mergeCell ref="D1:E1"/>
  </mergeCells>
  <phoneticPr fontId="10" type="noConversion"/>
  <conditionalFormatting sqref="H50:H57">
    <cfRule type="cellIs" dxfId="38" priority="1" operator="greaterThan">
      <formula>0</formula>
    </cfRule>
    <cfRule type="colorScale" priority="2">
      <colorScale>
        <cfvo type="min"/>
        <cfvo type="max"/>
        <color rgb="FFFF7128"/>
        <color rgb="FFFFEF9C"/>
      </colorScale>
    </cfRule>
    <cfRule type="colorScale" priority="3">
      <colorScale>
        <cfvo type="min"/>
        <cfvo type="max"/>
        <color rgb="FFF8696B"/>
        <color rgb="FFFCFCFF"/>
      </colorScale>
    </cfRule>
  </conditionalFormatting>
  <printOptions horizontalCentered="1" headings="1" gridLines="1"/>
  <pageMargins left="0.75" right="0.75" top="1" bottom="1" header="0.5" footer="2.94"/>
  <pageSetup scale="93" orientation="portrait" horizontalDpi="300" verticalDpi="300" r:id="rId1"/>
  <headerFooter alignWithMargins="0"/>
  <ignoredErrors>
    <ignoredError sqref="B21" formulaRange="1"/>
  </ignoredErrors>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9AF1858-EFAE-4920-A515-FBC6915FABA6}">
          <x14:formula1>
            <xm:f>'DEA&lt;=$100M '!$C$2:$C$61</xm:f>
          </x14:formula1>
          <xm:sqref>D2:E2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85692-1420-493A-AD80-D26BC9C403F1}">
  <sheetPr>
    <tabColor theme="5" tint="0.59999389629810485"/>
  </sheetPr>
  <dimension ref="A2:C61"/>
  <sheetViews>
    <sheetView topLeftCell="A39" workbookViewId="0">
      <selection activeCell="C2" sqref="C2:C61"/>
    </sheetView>
  </sheetViews>
  <sheetFormatPr defaultRowHeight="12.75" x14ac:dyDescent="0.2"/>
  <cols>
    <col min="3" max="3" width="38.85546875" bestFit="1" customWidth="1"/>
  </cols>
  <sheetData>
    <row r="2" spans="1:3" x14ac:dyDescent="0.2">
      <c r="A2">
        <v>1</v>
      </c>
      <c r="B2">
        <v>210</v>
      </c>
      <c r="C2" t="s">
        <v>55</v>
      </c>
    </row>
    <row r="3" spans="1:3" x14ac:dyDescent="0.2">
      <c r="A3">
        <v>2</v>
      </c>
      <c r="B3">
        <v>281</v>
      </c>
      <c r="C3" t="s">
        <v>57</v>
      </c>
    </row>
    <row r="4" spans="1:3" x14ac:dyDescent="0.2">
      <c r="A4">
        <v>3</v>
      </c>
      <c r="B4">
        <v>353</v>
      </c>
      <c r="C4" t="s">
        <v>59</v>
      </c>
    </row>
    <row r="5" spans="1:3" x14ac:dyDescent="0.2">
      <c r="A5">
        <v>4</v>
      </c>
      <c r="B5">
        <v>355</v>
      </c>
      <c r="C5" t="s">
        <v>61</v>
      </c>
    </row>
    <row r="6" spans="1:3" x14ac:dyDescent="0.2">
      <c r="A6">
        <v>5</v>
      </c>
      <c r="B6">
        <v>103</v>
      </c>
      <c r="C6" t="s">
        <v>65</v>
      </c>
    </row>
    <row r="7" spans="1:3" x14ac:dyDescent="0.2">
      <c r="A7">
        <v>6</v>
      </c>
      <c r="B7">
        <v>134</v>
      </c>
      <c r="C7" t="s">
        <v>67</v>
      </c>
    </row>
    <row r="8" spans="1:3" x14ac:dyDescent="0.2">
      <c r="A8">
        <v>7</v>
      </c>
      <c r="B8">
        <v>102</v>
      </c>
      <c r="C8" t="s">
        <v>69</v>
      </c>
    </row>
    <row r="9" spans="1:3" x14ac:dyDescent="0.2">
      <c r="A9">
        <v>8</v>
      </c>
      <c r="B9">
        <v>117</v>
      </c>
      <c r="C9" t="s">
        <v>71</v>
      </c>
    </row>
    <row r="10" spans="1:3" x14ac:dyDescent="0.2">
      <c r="A10">
        <v>9</v>
      </c>
      <c r="B10">
        <v>151</v>
      </c>
      <c r="C10" t="s">
        <v>73</v>
      </c>
    </row>
    <row r="11" spans="1:3" x14ac:dyDescent="0.2">
      <c r="A11">
        <v>10</v>
      </c>
      <c r="B11">
        <v>161</v>
      </c>
      <c r="C11" t="s">
        <v>75</v>
      </c>
    </row>
    <row r="12" spans="1:3" x14ac:dyDescent="0.2">
      <c r="A12">
        <v>11</v>
      </c>
      <c r="B12">
        <v>397</v>
      </c>
      <c r="C12" t="s">
        <v>83</v>
      </c>
    </row>
    <row r="13" spans="1:3" x14ac:dyDescent="0.2">
      <c r="A13">
        <v>12</v>
      </c>
      <c r="B13">
        <v>387</v>
      </c>
      <c r="C13" t="s">
        <v>85</v>
      </c>
    </row>
    <row r="14" spans="1:3" x14ac:dyDescent="0.2">
      <c r="A14">
        <v>13</v>
      </c>
      <c r="B14">
        <v>198</v>
      </c>
      <c r="C14" t="s">
        <v>87</v>
      </c>
    </row>
    <row r="15" spans="1:3" x14ac:dyDescent="0.2">
      <c r="A15">
        <v>14</v>
      </c>
      <c r="B15">
        <v>145</v>
      </c>
      <c r="C15" t="s">
        <v>91</v>
      </c>
    </row>
    <row r="16" spans="1:3" x14ac:dyDescent="0.2">
      <c r="A16">
        <v>15</v>
      </c>
      <c r="B16">
        <v>226</v>
      </c>
      <c r="C16" t="s">
        <v>97</v>
      </c>
    </row>
    <row r="17" spans="1:3" x14ac:dyDescent="0.2">
      <c r="A17">
        <v>16</v>
      </c>
      <c r="B17">
        <v>157</v>
      </c>
      <c r="C17" t="s">
        <v>99</v>
      </c>
    </row>
    <row r="18" spans="1:3" x14ac:dyDescent="0.2">
      <c r="A18">
        <v>17</v>
      </c>
      <c r="B18">
        <v>255</v>
      </c>
      <c r="C18" t="s">
        <v>105</v>
      </c>
    </row>
    <row r="19" spans="1:3" x14ac:dyDescent="0.2">
      <c r="A19">
        <v>18</v>
      </c>
      <c r="B19">
        <v>100</v>
      </c>
      <c r="C19" t="s">
        <v>109</v>
      </c>
    </row>
    <row r="20" spans="1:3" x14ac:dyDescent="0.2">
      <c r="A20">
        <v>19</v>
      </c>
      <c r="B20">
        <v>171</v>
      </c>
      <c r="C20" t="s">
        <v>111</v>
      </c>
    </row>
    <row r="21" spans="1:3" x14ac:dyDescent="0.2">
      <c r="A21">
        <v>20</v>
      </c>
      <c r="B21">
        <v>111</v>
      </c>
      <c r="C21" t="s">
        <v>117</v>
      </c>
    </row>
    <row r="22" spans="1:3" x14ac:dyDescent="0.2">
      <c r="A22">
        <v>21</v>
      </c>
      <c r="B22">
        <v>423</v>
      </c>
      <c r="C22" t="s">
        <v>119</v>
      </c>
    </row>
    <row r="23" spans="1:3" x14ac:dyDescent="0.2">
      <c r="A23">
        <v>22</v>
      </c>
      <c r="B23">
        <v>106</v>
      </c>
      <c r="C23" t="s">
        <v>121</v>
      </c>
    </row>
    <row r="24" spans="1:3" x14ac:dyDescent="0.2">
      <c r="A24">
        <v>23</v>
      </c>
      <c r="B24">
        <v>263</v>
      </c>
      <c r="C24" t="s">
        <v>123</v>
      </c>
    </row>
    <row r="25" spans="1:3" x14ac:dyDescent="0.2">
      <c r="A25">
        <v>24</v>
      </c>
      <c r="B25">
        <v>174</v>
      </c>
      <c r="C25" t="s">
        <v>127</v>
      </c>
    </row>
    <row r="26" spans="1:3" x14ac:dyDescent="0.2">
      <c r="A26">
        <v>25</v>
      </c>
      <c r="B26">
        <v>129</v>
      </c>
      <c r="C26" t="s">
        <v>129</v>
      </c>
    </row>
    <row r="27" spans="1:3" x14ac:dyDescent="0.2">
      <c r="A27">
        <v>26</v>
      </c>
      <c r="B27">
        <v>433</v>
      </c>
      <c r="C27" t="s">
        <v>131</v>
      </c>
    </row>
    <row r="28" spans="1:3" x14ac:dyDescent="0.2">
      <c r="A28">
        <v>27</v>
      </c>
      <c r="B28">
        <v>498</v>
      </c>
      <c r="C28" t="s">
        <v>135</v>
      </c>
    </row>
    <row r="29" spans="1:3" x14ac:dyDescent="0.2">
      <c r="A29">
        <v>28</v>
      </c>
      <c r="B29">
        <v>160</v>
      </c>
      <c r="C29" t="s">
        <v>137</v>
      </c>
    </row>
    <row r="30" spans="1:3" x14ac:dyDescent="0.2">
      <c r="A30">
        <v>29</v>
      </c>
      <c r="B30">
        <v>162</v>
      </c>
      <c r="C30" t="s">
        <v>139</v>
      </c>
    </row>
    <row r="31" spans="1:3" x14ac:dyDescent="0.2">
      <c r="A31">
        <v>30</v>
      </c>
      <c r="B31">
        <v>120</v>
      </c>
      <c r="C31" t="s">
        <v>141</v>
      </c>
    </row>
    <row r="32" spans="1:3" x14ac:dyDescent="0.2">
      <c r="A32">
        <v>31</v>
      </c>
      <c r="B32">
        <v>248</v>
      </c>
      <c r="C32" t="s">
        <v>145</v>
      </c>
    </row>
    <row r="33" spans="1:3" x14ac:dyDescent="0.2">
      <c r="A33">
        <v>32</v>
      </c>
      <c r="B33">
        <v>149</v>
      </c>
      <c r="C33" t="s">
        <v>149</v>
      </c>
    </row>
    <row r="34" spans="1:3" x14ac:dyDescent="0.2">
      <c r="A34">
        <v>33</v>
      </c>
      <c r="B34">
        <v>296</v>
      </c>
      <c r="C34" t="s">
        <v>151</v>
      </c>
    </row>
    <row r="35" spans="1:3" x14ac:dyDescent="0.2">
      <c r="A35">
        <v>34</v>
      </c>
      <c r="B35">
        <v>103</v>
      </c>
      <c r="C35" t="s">
        <v>157</v>
      </c>
    </row>
    <row r="36" spans="1:3" x14ac:dyDescent="0.2">
      <c r="A36">
        <v>35</v>
      </c>
      <c r="B36">
        <v>129</v>
      </c>
      <c r="C36" t="s">
        <v>159</v>
      </c>
    </row>
    <row r="37" spans="1:3" x14ac:dyDescent="0.2">
      <c r="A37">
        <v>36</v>
      </c>
      <c r="B37">
        <v>289</v>
      </c>
      <c r="C37" t="s">
        <v>161</v>
      </c>
    </row>
    <row r="38" spans="1:3" x14ac:dyDescent="0.2">
      <c r="A38">
        <v>37</v>
      </c>
      <c r="B38">
        <v>162</v>
      </c>
      <c r="C38" t="s">
        <v>163</v>
      </c>
    </row>
    <row r="39" spans="1:3" x14ac:dyDescent="0.2">
      <c r="A39">
        <v>38</v>
      </c>
      <c r="B39">
        <v>201</v>
      </c>
      <c r="C39" t="s">
        <v>167</v>
      </c>
    </row>
    <row r="40" spans="1:3" x14ac:dyDescent="0.2">
      <c r="A40">
        <v>39</v>
      </c>
      <c r="B40">
        <v>189</v>
      </c>
      <c r="C40" t="s">
        <v>171</v>
      </c>
    </row>
    <row r="41" spans="1:3" x14ac:dyDescent="0.2">
      <c r="A41">
        <v>40</v>
      </c>
      <c r="B41">
        <v>112</v>
      </c>
      <c r="C41" t="s">
        <v>179</v>
      </c>
    </row>
    <row r="42" spans="1:3" x14ac:dyDescent="0.2">
      <c r="A42">
        <v>41</v>
      </c>
      <c r="B42">
        <v>445</v>
      </c>
      <c r="C42" t="s">
        <v>181</v>
      </c>
    </row>
    <row r="43" spans="1:3" x14ac:dyDescent="0.2">
      <c r="A43">
        <v>42</v>
      </c>
      <c r="B43">
        <v>319</v>
      </c>
      <c r="C43" t="s">
        <v>183</v>
      </c>
    </row>
    <row r="44" spans="1:3" x14ac:dyDescent="0.2">
      <c r="A44">
        <v>43</v>
      </c>
      <c r="B44">
        <v>365</v>
      </c>
      <c r="C44" t="s">
        <v>185</v>
      </c>
    </row>
    <row r="45" spans="1:3" x14ac:dyDescent="0.2">
      <c r="A45">
        <v>44</v>
      </c>
      <c r="B45">
        <v>287</v>
      </c>
      <c r="C45" t="s">
        <v>187</v>
      </c>
    </row>
    <row r="46" spans="1:3" x14ac:dyDescent="0.2">
      <c r="A46">
        <v>45</v>
      </c>
      <c r="B46">
        <v>270</v>
      </c>
      <c r="C46" t="s">
        <v>189</v>
      </c>
    </row>
    <row r="47" spans="1:3" x14ac:dyDescent="0.2">
      <c r="A47">
        <v>46</v>
      </c>
      <c r="B47">
        <v>166</v>
      </c>
      <c r="C47" t="s">
        <v>191</v>
      </c>
    </row>
    <row r="48" spans="1:3" x14ac:dyDescent="0.2">
      <c r="A48">
        <v>47</v>
      </c>
      <c r="B48">
        <v>314</v>
      </c>
      <c r="C48" t="s">
        <v>195</v>
      </c>
    </row>
    <row r="49" spans="1:3" x14ac:dyDescent="0.2">
      <c r="A49">
        <v>48</v>
      </c>
      <c r="B49">
        <v>506</v>
      </c>
      <c r="C49" t="s">
        <v>197</v>
      </c>
    </row>
    <row r="50" spans="1:3" x14ac:dyDescent="0.2">
      <c r="A50">
        <v>49</v>
      </c>
      <c r="B50">
        <v>417</v>
      </c>
      <c r="C50" t="s">
        <v>199</v>
      </c>
    </row>
    <row r="51" spans="1:3" x14ac:dyDescent="0.2">
      <c r="A51">
        <v>50</v>
      </c>
      <c r="B51">
        <v>187</v>
      </c>
      <c r="C51" t="s">
        <v>205</v>
      </c>
    </row>
    <row r="52" spans="1:3" x14ac:dyDescent="0.2">
      <c r="A52">
        <v>51</v>
      </c>
      <c r="B52">
        <v>128</v>
      </c>
      <c r="C52" t="s">
        <v>207</v>
      </c>
    </row>
    <row r="53" spans="1:3" x14ac:dyDescent="0.2">
      <c r="A53">
        <v>52</v>
      </c>
      <c r="B53">
        <v>196</v>
      </c>
      <c r="C53" t="s">
        <v>209</v>
      </c>
    </row>
    <row r="54" spans="1:3" x14ac:dyDescent="0.2">
      <c r="A54">
        <v>53</v>
      </c>
      <c r="B54">
        <v>348</v>
      </c>
      <c r="C54" t="s">
        <v>213</v>
      </c>
    </row>
    <row r="55" spans="1:3" x14ac:dyDescent="0.2">
      <c r="A55">
        <v>54</v>
      </c>
      <c r="B55">
        <v>135</v>
      </c>
      <c r="C55" t="s">
        <v>215</v>
      </c>
    </row>
    <row r="56" spans="1:3" x14ac:dyDescent="0.2">
      <c r="A56">
        <v>55</v>
      </c>
      <c r="B56">
        <v>151</v>
      </c>
      <c r="C56" t="s">
        <v>219</v>
      </c>
    </row>
    <row r="57" spans="1:3" x14ac:dyDescent="0.2">
      <c r="A57">
        <v>56</v>
      </c>
      <c r="B57">
        <v>240</v>
      </c>
      <c r="C57" t="s">
        <v>221</v>
      </c>
    </row>
    <row r="58" spans="1:3" x14ac:dyDescent="0.2">
      <c r="A58">
        <v>57</v>
      </c>
      <c r="B58">
        <v>143</v>
      </c>
      <c r="C58" t="s">
        <v>223</v>
      </c>
    </row>
    <row r="59" spans="1:3" x14ac:dyDescent="0.2">
      <c r="A59">
        <v>58</v>
      </c>
      <c r="B59">
        <v>131</v>
      </c>
      <c r="C59" t="s">
        <v>227</v>
      </c>
    </row>
    <row r="60" spans="1:3" x14ac:dyDescent="0.2">
      <c r="A60">
        <v>59</v>
      </c>
      <c r="B60">
        <v>118</v>
      </c>
      <c r="C60" t="s">
        <v>229</v>
      </c>
    </row>
    <row r="61" spans="1:3" x14ac:dyDescent="0.2">
      <c r="A61">
        <v>60</v>
      </c>
      <c r="B61">
        <v>309</v>
      </c>
      <c r="C61" t="s">
        <v>231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BD9DD4-EFA2-4302-96A9-429A92097A0F}">
  <sheetPr>
    <tabColor theme="4"/>
  </sheetPr>
  <dimension ref="A2:C30"/>
  <sheetViews>
    <sheetView workbookViewId="0">
      <selection activeCell="A17" sqref="A17"/>
    </sheetView>
  </sheetViews>
  <sheetFormatPr defaultRowHeight="12.75" x14ac:dyDescent="0.2"/>
  <cols>
    <col min="3" max="3" width="38.85546875" bestFit="1" customWidth="1"/>
  </cols>
  <sheetData>
    <row r="2" spans="1:3" x14ac:dyDescent="0.2">
      <c r="A2">
        <v>1</v>
      </c>
      <c r="B2" s="13">
        <v>1301</v>
      </c>
      <c r="C2" t="s">
        <v>81</v>
      </c>
    </row>
    <row r="3" spans="1:3" x14ac:dyDescent="0.2">
      <c r="A3">
        <v>2</v>
      </c>
      <c r="B3" s="13">
        <v>427</v>
      </c>
      <c r="C3" t="s">
        <v>125</v>
      </c>
    </row>
    <row r="4" spans="1:3" x14ac:dyDescent="0.2">
      <c r="A4">
        <v>3</v>
      </c>
      <c r="B4" s="13">
        <v>3167</v>
      </c>
      <c r="C4" t="s">
        <v>143</v>
      </c>
    </row>
    <row r="5" spans="1:3" x14ac:dyDescent="0.2">
      <c r="A5">
        <v>4</v>
      </c>
      <c r="B5" s="13">
        <v>1794</v>
      </c>
      <c r="C5" t="s">
        <v>89</v>
      </c>
    </row>
    <row r="6" spans="1:3" x14ac:dyDescent="0.2">
      <c r="A6">
        <v>5</v>
      </c>
      <c r="B6" s="13">
        <v>383</v>
      </c>
      <c r="C6" t="s">
        <v>165</v>
      </c>
    </row>
    <row r="7" spans="1:3" x14ac:dyDescent="0.2">
      <c r="A7">
        <v>6</v>
      </c>
      <c r="B7" s="13">
        <v>1275</v>
      </c>
      <c r="C7" t="s">
        <v>93</v>
      </c>
    </row>
    <row r="8" spans="1:3" x14ac:dyDescent="0.2">
      <c r="A8">
        <v>7</v>
      </c>
      <c r="B8" s="13">
        <v>1192</v>
      </c>
      <c r="C8" t="s">
        <v>153</v>
      </c>
    </row>
    <row r="9" spans="1:3" x14ac:dyDescent="0.2">
      <c r="A9">
        <v>8</v>
      </c>
      <c r="B9" s="13">
        <v>1415</v>
      </c>
      <c r="C9" t="s">
        <v>203</v>
      </c>
    </row>
    <row r="10" spans="1:3" x14ac:dyDescent="0.2">
      <c r="A10">
        <v>9</v>
      </c>
      <c r="B10" s="13">
        <v>739</v>
      </c>
      <c r="C10" t="s">
        <v>103</v>
      </c>
    </row>
    <row r="11" spans="1:3" x14ac:dyDescent="0.2">
      <c r="A11">
        <v>10</v>
      </c>
      <c r="B11" s="13">
        <v>290</v>
      </c>
      <c r="C11" t="s">
        <v>133</v>
      </c>
    </row>
    <row r="12" spans="1:3" x14ac:dyDescent="0.2">
      <c r="A12">
        <v>11</v>
      </c>
      <c r="B12" s="13">
        <v>1045</v>
      </c>
      <c r="C12" t="s">
        <v>175</v>
      </c>
    </row>
    <row r="13" spans="1:3" x14ac:dyDescent="0.2">
      <c r="A13">
        <v>12</v>
      </c>
      <c r="B13" s="13">
        <v>1143</v>
      </c>
      <c r="C13" t="s">
        <v>113</v>
      </c>
    </row>
    <row r="14" spans="1:3" x14ac:dyDescent="0.2">
      <c r="A14">
        <v>13</v>
      </c>
      <c r="B14" s="13">
        <v>827</v>
      </c>
      <c r="C14" t="s">
        <v>177</v>
      </c>
    </row>
    <row r="15" spans="1:3" x14ac:dyDescent="0.2">
      <c r="A15">
        <v>14</v>
      </c>
      <c r="B15" s="13">
        <v>881</v>
      </c>
      <c r="C15" t="s">
        <v>211</v>
      </c>
    </row>
    <row r="16" spans="1:3" x14ac:dyDescent="0.2">
      <c r="A16">
        <v>15</v>
      </c>
      <c r="B16" s="13">
        <v>624</v>
      </c>
      <c r="C16" t="s">
        <v>173</v>
      </c>
    </row>
    <row r="17" spans="1:3" x14ac:dyDescent="0.2">
      <c r="A17">
        <v>16</v>
      </c>
      <c r="B17" s="13">
        <v>1307</v>
      </c>
      <c r="C17" t="s">
        <v>147</v>
      </c>
    </row>
    <row r="18" spans="1:3" x14ac:dyDescent="0.2">
      <c r="A18">
        <v>17</v>
      </c>
      <c r="B18" s="13">
        <v>904</v>
      </c>
      <c r="C18" t="s">
        <v>225</v>
      </c>
    </row>
    <row r="19" spans="1:3" x14ac:dyDescent="0.2">
      <c r="A19">
        <v>18</v>
      </c>
      <c r="B19" s="13">
        <v>951</v>
      </c>
      <c r="C19" t="s">
        <v>107</v>
      </c>
    </row>
    <row r="20" spans="1:3" x14ac:dyDescent="0.2">
      <c r="A20">
        <v>19</v>
      </c>
      <c r="B20" s="13">
        <v>620</v>
      </c>
      <c r="C20" t="s">
        <v>95</v>
      </c>
    </row>
    <row r="21" spans="1:3" x14ac:dyDescent="0.2">
      <c r="A21">
        <v>20</v>
      </c>
      <c r="B21" s="13">
        <v>195</v>
      </c>
      <c r="C21" t="s">
        <v>79</v>
      </c>
    </row>
    <row r="22" spans="1:3" x14ac:dyDescent="0.2">
      <c r="A22">
        <v>21</v>
      </c>
      <c r="B22" s="13">
        <v>550</v>
      </c>
      <c r="C22" t="s">
        <v>63</v>
      </c>
    </row>
    <row r="23" spans="1:3" x14ac:dyDescent="0.2">
      <c r="A23">
        <v>22</v>
      </c>
      <c r="B23" s="13">
        <v>633</v>
      </c>
      <c r="C23" t="s">
        <v>193</v>
      </c>
    </row>
    <row r="24" spans="1:3" x14ac:dyDescent="0.2">
      <c r="A24">
        <v>23</v>
      </c>
      <c r="B24" s="13">
        <v>534</v>
      </c>
      <c r="C24" t="s">
        <v>115</v>
      </c>
    </row>
    <row r="25" spans="1:3" x14ac:dyDescent="0.2">
      <c r="A25">
        <v>24</v>
      </c>
      <c r="B25" s="13">
        <v>380</v>
      </c>
      <c r="C25" t="s">
        <v>201</v>
      </c>
    </row>
    <row r="26" spans="1:3" x14ac:dyDescent="0.2">
      <c r="A26">
        <v>25</v>
      </c>
      <c r="B26" s="13">
        <v>483</v>
      </c>
      <c r="C26" t="s">
        <v>101</v>
      </c>
    </row>
    <row r="27" spans="1:3" x14ac:dyDescent="0.2">
      <c r="A27">
        <v>26</v>
      </c>
      <c r="B27" s="13">
        <v>591</v>
      </c>
      <c r="C27" t="s">
        <v>155</v>
      </c>
    </row>
    <row r="28" spans="1:3" x14ac:dyDescent="0.2">
      <c r="A28">
        <v>27</v>
      </c>
      <c r="B28" s="13">
        <v>222</v>
      </c>
      <c r="C28" t="s">
        <v>169</v>
      </c>
    </row>
    <row r="29" spans="1:3" x14ac:dyDescent="0.2">
      <c r="A29">
        <v>28</v>
      </c>
      <c r="B29" s="13">
        <v>605</v>
      </c>
      <c r="C29" t="s">
        <v>217</v>
      </c>
    </row>
    <row r="30" spans="1:3" x14ac:dyDescent="0.2">
      <c r="A30">
        <v>29</v>
      </c>
      <c r="B30" s="13">
        <v>391</v>
      </c>
      <c r="C30" t="s">
        <v>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6FC2D-3F81-4CC5-94BA-71A9CDD0DD92}">
  <dimension ref="A2:H14"/>
  <sheetViews>
    <sheetView workbookViewId="0">
      <selection activeCell="C23" sqref="C23"/>
    </sheetView>
  </sheetViews>
  <sheetFormatPr defaultRowHeight="12.75" x14ac:dyDescent="0.2"/>
  <cols>
    <col min="1" max="1" width="49.28515625" bestFit="1" customWidth="1"/>
    <col min="2" max="2" width="12.140625" customWidth="1"/>
    <col min="3" max="3" width="49.28515625" bestFit="1" customWidth="1"/>
    <col min="4" max="4" width="12.140625" bestFit="1" customWidth="1"/>
    <col min="5" max="5" width="43.85546875" bestFit="1" customWidth="1"/>
    <col min="6" max="6" width="44.7109375" bestFit="1" customWidth="1"/>
    <col min="7" max="7" width="42.7109375" bestFit="1" customWidth="1"/>
    <col min="8" max="8" width="38.140625" bestFit="1" customWidth="1"/>
  </cols>
  <sheetData>
    <row r="2" spans="1:8" x14ac:dyDescent="0.2">
      <c r="A2" s="32" t="s">
        <v>246</v>
      </c>
      <c r="B2" s="32" t="s">
        <v>296</v>
      </c>
      <c r="C2" s="32" t="s">
        <v>297</v>
      </c>
      <c r="D2" s="32" t="s">
        <v>296</v>
      </c>
      <c r="G2" s="32"/>
    </row>
    <row r="3" spans="1:8" x14ac:dyDescent="0.2">
      <c r="A3" s="31" t="s">
        <v>295</v>
      </c>
      <c r="C3" s="31" t="s">
        <v>295</v>
      </c>
      <c r="E3" s="33" t="s">
        <v>298</v>
      </c>
    </row>
    <row r="4" spans="1:8" x14ac:dyDescent="0.2">
      <c r="A4" s="25" t="s">
        <v>288</v>
      </c>
      <c r="B4" s="39">
        <v>6.246603360511762E-2</v>
      </c>
      <c r="C4" s="25" t="s">
        <v>288</v>
      </c>
      <c r="D4" s="39">
        <v>4.4806844110528127E-2</v>
      </c>
      <c r="E4" s="34">
        <f>GETPIVOTDATA("Average of CALC -Total enplanements - Exp",$C$3)/GETPIVOTDATA("Average of CALC -Total enplanements - Exp",$A$3)-1</f>
        <v>-0.28270066907438063</v>
      </c>
    </row>
    <row r="5" spans="1:8" x14ac:dyDescent="0.2">
      <c r="A5" s="25" t="s">
        <v>287</v>
      </c>
      <c r="B5" s="40">
        <v>132873.66690870124</v>
      </c>
      <c r="C5" s="25" t="s">
        <v>287</v>
      </c>
      <c r="D5" s="40">
        <v>73555.557213930355</v>
      </c>
      <c r="E5" s="34">
        <f>GETPIVOTDATA("Average of CALC-Total Aero revenue - Emp",$C$3)/GETPIVOTDATA("Average of CALC-Total Aero revenue - Emp",$A$3)-1</f>
        <v>-0.44642487164540223</v>
      </c>
    </row>
    <row r="6" spans="1:8" x14ac:dyDescent="0.2">
      <c r="A6" s="25" t="s">
        <v>289</v>
      </c>
      <c r="B6" s="41">
        <v>11886.939943995309</v>
      </c>
      <c r="C6" s="25" t="s">
        <v>289</v>
      </c>
      <c r="D6" s="41">
        <v>7215.8606965174131</v>
      </c>
      <c r="E6" s="34">
        <f>GETPIVOTDATA("Average of CALC - Total enplanements - Emp",$C$3)/GETPIVOTDATA("Average of CALC - Total enplanements - Emp",$A$3)-1</f>
        <v>-0.39295893387915137</v>
      </c>
    </row>
    <row r="7" spans="1:8" x14ac:dyDescent="0.2">
      <c r="A7" s="25" t="s">
        <v>290</v>
      </c>
      <c r="B7" s="42">
        <v>663.76258746599581</v>
      </c>
      <c r="C7" s="25" t="s">
        <v>290</v>
      </c>
      <c r="D7" s="42">
        <v>354.90547263681594</v>
      </c>
      <c r="E7" s="34">
        <f>GETPIVOTDATA("Average of CALC -Annual aircraft operations - 20153 - Emp",$C$3)/GETPIVOTDATA("Average of CALC -Annual aircraft operations - 20153 - Emp",$A$3)-1</f>
        <v>-0.46531262933676931</v>
      </c>
    </row>
    <row r="8" spans="1:8" x14ac:dyDescent="0.2">
      <c r="A8" s="25" t="s">
        <v>291</v>
      </c>
      <c r="B8" s="40">
        <v>162679.53742790828</v>
      </c>
      <c r="C8" s="25" t="s">
        <v>291</v>
      </c>
      <c r="D8" s="40">
        <v>122461.55721393035</v>
      </c>
      <c r="E8" s="34">
        <f>GETPIVOTDATA("Average of CALC -Total Non Aero Revenue - Emp",$C$3)/GETPIVOTDATA("Average of CALC -Total Non Aero Revenue - Emp",$A$3)-1</f>
        <v>-0.24722212055588488</v>
      </c>
    </row>
    <row r="9" spans="1:8" x14ac:dyDescent="0.2">
      <c r="A9" s="25" t="s">
        <v>292</v>
      </c>
      <c r="B9" s="43">
        <v>3.9254229742490109E-3</v>
      </c>
      <c r="C9" s="25" t="s">
        <v>292</v>
      </c>
      <c r="D9" s="43">
        <v>2.2037834231037725E-3</v>
      </c>
      <c r="E9" s="34">
        <f>GETPIVOTDATA("Average of CALC -Annual aircraft operations - Exp",$C$3)/GETPIVOTDATA("Average of CALC -Annual aircraft operations - Exp",$A$3)-1</f>
        <v>-0.43858701659395383</v>
      </c>
    </row>
    <row r="10" spans="1:8" x14ac:dyDescent="0.2">
      <c r="A10" s="25" t="s">
        <v>293</v>
      </c>
      <c r="B10" s="40">
        <v>0.8797179888151565</v>
      </c>
      <c r="C10" s="25" t="s">
        <v>293</v>
      </c>
      <c r="D10" s="40">
        <v>0.76042431172006164</v>
      </c>
      <c r="E10" s="34">
        <f>GETPIVOTDATA("Average of CALC-Total Non Aero Revenue - Exp",$C$3)/GETPIVOTDATA("Average of CALC-Total Non Aero Revenue - Exp",$A$3)-1</f>
        <v>-0.13560445348601424</v>
      </c>
    </row>
    <row r="11" spans="1:8" x14ac:dyDescent="0.2">
      <c r="A11" s="25" t="s">
        <v>294</v>
      </c>
      <c r="B11" s="40">
        <v>0.7096847894694045</v>
      </c>
      <c r="C11" s="25" t="s">
        <v>294</v>
      </c>
      <c r="D11" s="40">
        <v>0.45674279537273443</v>
      </c>
      <c r="E11" s="34">
        <f>GETPIVOTDATA("Average of CALC-Total Aero revenue - Exp",$C$3)/GETPIVOTDATA("Average of CALC-Total Aero revenue - Exp",$A$3)-1</f>
        <v>-0.35641456298617025</v>
      </c>
    </row>
    <row r="14" spans="1:8" x14ac:dyDescent="0.2">
      <c r="A14" s="32" t="s">
        <v>299</v>
      </c>
      <c r="C14" s="31"/>
      <c r="D14" s="31"/>
      <c r="E14" s="31"/>
      <c r="F14" s="31"/>
      <c r="G14" s="31"/>
      <c r="H14" s="31"/>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4ED22-8F5A-45E1-999B-1A0821AF8CAE}">
  <dimension ref="B2:R91"/>
  <sheetViews>
    <sheetView showGridLines="0" workbookViewId="0">
      <pane xSplit="2" ySplit="2" topLeftCell="G3" activePane="bottomRight" state="frozen"/>
      <selection pane="topRight" activeCell="C1" sqref="C1"/>
      <selection pane="bottomLeft" activeCell="A3" sqref="A3"/>
      <selection pane="bottomRight" activeCell="D33" sqref="D33"/>
    </sheetView>
  </sheetViews>
  <sheetFormatPr defaultColWidth="12" defaultRowHeight="12.75" x14ac:dyDescent="0.2"/>
  <cols>
    <col min="1" max="1" width="5.140625" customWidth="1"/>
    <col min="2" max="2" width="37" customWidth="1"/>
    <col min="3" max="3" width="16.42578125" style="22" customWidth="1"/>
    <col min="4" max="4" width="22.42578125" style="13" customWidth="1"/>
    <col min="5" max="5" width="40.85546875" customWidth="1"/>
    <col min="6" max="6" width="31" customWidth="1"/>
    <col min="7" max="7" width="37.7109375" style="15" customWidth="1"/>
    <col min="8" max="8" width="28.5703125" customWidth="1"/>
    <col min="9" max="9" width="31.140625" style="14" customWidth="1"/>
    <col min="10" max="10" width="23.42578125" bestFit="1" customWidth="1"/>
    <col min="11" max="11" width="35.42578125" bestFit="1" customWidth="1"/>
    <col min="12" max="12" width="47.28515625" bestFit="1" customWidth="1"/>
    <col min="13" max="13" width="39" bestFit="1" customWidth="1"/>
    <col min="14" max="14" width="33.7109375" bestFit="1" customWidth="1"/>
    <col min="15" max="15" width="34.28515625" bestFit="1" customWidth="1"/>
    <col min="16" max="16" width="39.7109375" bestFit="1" customWidth="1"/>
    <col min="17" max="17" width="37.7109375" bestFit="1" customWidth="1"/>
    <col min="18" max="18" width="33" bestFit="1" customWidth="1"/>
  </cols>
  <sheetData>
    <row r="2" spans="2:18" ht="29.45" customHeight="1" x14ac:dyDescent="0.2">
      <c r="B2" s="56" t="s">
        <v>19</v>
      </c>
      <c r="C2" s="57" t="s">
        <v>49</v>
      </c>
      <c r="D2" s="58" t="s">
        <v>50</v>
      </c>
      <c r="E2" s="59" t="s">
        <v>51</v>
      </c>
      <c r="F2" s="59" t="s">
        <v>52</v>
      </c>
      <c r="G2" s="60" t="s">
        <v>53</v>
      </c>
      <c r="H2" s="59" t="s">
        <v>17</v>
      </c>
      <c r="I2" s="61" t="s">
        <v>54</v>
      </c>
      <c r="J2" s="55" t="s">
        <v>327</v>
      </c>
      <c r="K2" s="55" t="s">
        <v>279</v>
      </c>
      <c r="L2" s="55" t="s">
        <v>280</v>
      </c>
      <c r="M2" s="55" t="s">
        <v>281</v>
      </c>
      <c r="N2" s="55" t="s">
        <v>282</v>
      </c>
      <c r="O2" s="55" t="s">
        <v>283</v>
      </c>
      <c r="P2" s="55" t="s">
        <v>284</v>
      </c>
      <c r="Q2" s="55" t="s">
        <v>285</v>
      </c>
      <c r="R2" s="55" t="s">
        <v>286</v>
      </c>
    </row>
    <row r="3" spans="2:18" x14ac:dyDescent="0.2">
      <c r="B3" t="s">
        <v>55</v>
      </c>
      <c r="C3" s="22" t="s">
        <v>56</v>
      </c>
      <c r="D3" s="53">
        <v>210</v>
      </c>
      <c r="E3" s="54">
        <v>26874648</v>
      </c>
      <c r="F3" s="53">
        <v>1297749</v>
      </c>
      <c r="G3" s="54">
        <v>60001</v>
      </c>
      <c r="H3" s="54">
        <v>22997841</v>
      </c>
      <c r="I3" s="54">
        <v>16744100</v>
      </c>
      <c r="J3" s="35" t="str">
        <f>IF(Table1[[#This Row],[TOTAL OPERATING EXPENSES - 2015]]&gt;100000000,"yes","no")</f>
        <v>no</v>
      </c>
      <c r="K3" s="63">
        <f>Table1[[#This Row],[Total enplanements - 2015]]/Table1[[Employees - 2015]:[Employees - 2015]]</f>
        <v>6179.7571428571428</v>
      </c>
      <c r="L3" s="63">
        <f>Table1[[#This Row],[Annual aircraft operations - 2015]]/Table1[[Employees - 2015]:[Employees - 2015]]</f>
        <v>285.71904761904761</v>
      </c>
      <c r="M3" s="63">
        <f>Table1[[#This Row],[Total Non Aero Revenue]]/Table1[[Employees - 2015]:[Employees - 2015]]</f>
        <v>109513.52857142857</v>
      </c>
      <c r="N3" s="63">
        <f>Table1[[#This Row],[Total Aero revenue - 2015]]/Table1[[Employees - 2015]:[Employees - 2015]]</f>
        <v>79733.809523809527</v>
      </c>
      <c r="O3" s="38">
        <f>Table1[[#This Row],[Total enplanements - 2015]]/Table1[[TOTAL OPERATING EXPENSES - 2015]:[TOTAL OPERATING EXPENSES - 2015]]</f>
        <v>4.8288967356893378E-2</v>
      </c>
      <c r="P3" s="38">
        <f>Table1[[#This Row],[Annual aircraft operations - 2015]]/Table1[[TOTAL OPERATING EXPENSES - 2015]:[TOTAL OPERATING EXPENSES - 2015]]</f>
        <v>2.2326245910272015E-3</v>
      </c>
      <c r="Q3" s="37">
        <f>Table1[[#This Row],[Total Non Aero Revenue]]/Table1[[TOTAL OPERATING EXPENSES - 2015]:[TOTAL OPERATING EXPENSES - 2015]]</f>
        <v>0.85574482687177889</v>
      </c>
      <c r="R3" s="37">
        <f>Table1[[#This Row],[Total Aero revenue - 2015]]/Table1[[TOTAL OPERATING EXPENSES - 2015]:[TOTAL OPERATING EXPENSES - 2015]]</f>
        <v>0.62304443950298438</v>
      </c>
    </row>
    <row r="4" spans="2:18" x14ac:dyDescent="0.2">
      <c r="B4" t="s">
        <v>57</v>
      </c>
      <c r="C4" s="22" t="s">
        <v>58</v>
      </c>
      <c r="D4" s="53">
        <v>281</v>
      </c>
      <c r="E4" s="54">
        <v>30495206</v>
      </c>
      <c r="F4" s="53">
        <v>2383062</v>
      </c>
      <c r="G4" s="54">
        <v>126293</v>
      </c>
      <c r="H4" s="54">
        <v>31464667</v>
      </c>
      <c r="I4" s="54">
        <v>24591846</v>
      </c>
      <c r="J4" s="35" t="str">
        <f>IF(Table1[[#This Row],[TOTAL OPERATING EXPENSES - 2015]]&gt;100000000,"yes","no")</f>
        <v>no</v>
      </c>
      <c r="K4" s="63">
        <f>Table1[[#This Row],[Total enplanements - 2015]]/Table1[[Employees - 2015]:[Employees - 2015]]</f>
        <v>8480.6476868327409</v>
      </c>
      <c r="L4" s="63">
        <f>Table1[[#This Row],[Annual aircraft operations - 2015]]/Table1[[Employees - 2015]:[Employees - 2015]]</f>
        <v>449.44128113879003</v>
      </c>
      <c r="M4" s="63">
        <f>Table1[[#This Row],[Total Non Aero Revenue]]/Table1[[Employees - 2015]:[Employees - 2015]]</f>
        <v>111973.90391459074</v>
      </c>
      <c r="N4" s="63">
        <f>Table1[[#This Row],[Total Aero revenue - 2015]]/Table1[[Employees - 2015]:[Employees - 2015]]</f>
        <v>87515.466192170818</v>
      </c>
      <c r="O4" s="38">
        <f>Table1[[#This Row],[Total enplanements - 2015]]/Table1[[TOTAL OPERATING EXPENSES - 2015]:[TOTAL OPERATING EXPENSES - 2015]]</f>
        <v>7.8145463257405109E-2</v>
      </c>
      <c r="P4" s="38">
        <f>Table1[[#This Row],[Annual aircraft operations - 2015]]/Table1[[TOTAL OPERATING EXPENSES - 2015]:[TOTAL OPERATING EXPENSES - 2015]]</f>
        <v>4.1414050457635864E-3</v>
      </c>
      <c r="Q4" s="37">
        <f>Table1[[#This Row],[Total Non Aero Revenue]]/Table1[[TOTAL OPERATING EXPENSES - 2015]:[TOTAL OPERATING EXPENSES - 2015]]</f>
        <v>1.031790603414845</v>
      </c>
      <c r="R4" s="37">
        <f>Table1[[#This Row],[Total Aero revenue - 2015]]/Table1[[TOTAL OPERATING EXPENSES - 2015]:[TOTAL OPERATING EXPENSES - 2015]]</f>
        <v>0.80641678564165131</v>
      </c>
    </row>
    <row r="5" spans="2:18" x14ac:dyDescent="0.2">
      <c r="B5" t="s">
        <v>59</v>
      </c>
      <c r="C5" s="22" t="s">
        <v>60</v>
      </c>
      <c r="D5" s="53">
        <v>353</v>
      </c>
      <c r="E5" s="54">
        <v>63543690</v>
      </c>
      <c r="F5" s="53">
        <v>2668378</v>
      </c>
      <c r="G5" s="54">
        <v>283494</v>
      </c>
      <c r="H5" s="54">
        <v>19842418</v>
      </c>
      <c r="I5" s="54">
        <v>103681549</v>
      </c>
      <c r="J5" s="35" t="str">
        <f>IF(Table1[[#This Row],[TOTAL OPERATING EXPENSES - 2015]]&gt;100000000,"yes","no")</f>
        <v>no</v>
      </c>
      <c r="K5" s="63">
        <f>Table1[[#This Row],[Total enplanements - 2015]]/Table1[[Employees - 2015]:[Employees - 2015]]</f>
        <v>7559.1444759206797</v>
      </c>
      <c r="L5" s="63">
        <f>Table1[[#This Row],[Annual aircraft operations - 2015]]/Table1[[Employees - 2015]:[Employees - 2015]]</f>
        <v>803.09915014164301</v>
      </c>
      <c r="M5" s="63">
        <f>Table1[[#This Row],[Total Non Aero Revenue]]/Table1[[Employees - 2015]:[Employees - 2015]]</f>
        <v>56210.815864022661</v>
      </c>
      <c r="N5" s="63">
        <f>Table1[[#This Row],[Total Aero revenue - 2015]]/Table1[[Employees - 2015]:[Employees - 2015]]</f>
        <v>293715.43626062322</v>
      </c>
      <c r="O5" s="38">
        <f>Table1[[#This Row],[Total enplanements - 2015]]/Table1[[TOTAL OPERATING EXPENSES - 2015]:[TOTAL OPERATING EXPENSES - 2015]]</f>
        <v>4.199280841260556E-2</v>
      </c>
      <c r="P5" s="38">
        <f>Table1[[#This Row],[Annual aircraft operations - 2015]]/Table1[[TOTAL OPERATING EXPENSES - 2015]:[TOTAL OPERATING EXPENSES - 2015]]</f>
        <v>4.4614028552638352E-3</v>
      </c>
      <c r="Q5" s="37">
        <f>Table1[[#This Row],[Total Non Aero Revenue]]/Table1[[TOTAL OPERATING EXPENSES - 2015]:[TOTAL OPERATING EXPENSES - 2015]]</f>
        <v>0.31226417603384382</v>
      </c>
      <c r="R5" s="37">
        <f>Table1[[#This Row],[Total Aero revenue - 2015]]/Table1[[TOTAL OPERATING EXPENSES - 2015]:[TOTAL OPERATING EXPENSES - 2015]]</f>
        <v>1.6316576673466712</v>
      </c>
    </row>
    <row r="6" spans="2:18" x14ac:dyDescent="0.2">
      <c r="B6" t="s">
        <v>61</v>
      </c>
      <c r="C6" s="22" t="s">
        <v>62</v>
      </c>
      <c r="D6" s="53">
        <v>355</v>
      </c>
      <c r="E6" s="54">
        <v>80182019</v>
      </c>
      <c r="F6" s="53">
        <v>5792387</v>
      </c>
      <c r="G6" s="54">
        <v>190081</v>
      </c>
      <c r="H6" s="54">
        <v>67464904</v>
      </c>
      <c r="I6" s="54">
        <v>52503713</v>
      </c>
      <c r="J6" s="35" t="str">
        <f>IF(Table1[[#This Row],[TOTAL OPERATING EXPENSES - 2015]]&gt;100000000,"yes","no")</f>
        <v>no</v>
      </c>
      <c r="K6" s="63">
        <f>Table1[[#This Row],[Total enplanements - 2015]]/Table1[[Employees - 2015]:[Employees - 2015]]</f>
        <v>16316.583098591549</v>
      </c>
      <c r="L6" s="63">
        <f>Table1[[#This Row],[Annual aircraft operations - 2015]]/Table1[[Employees - 2015]:[Employees - 2015]]</f>
        <v>535.43943661971832</v>
      </c>
      <c r="M6" s="63">
        <f>Table1[[#This Row],[Total Non Aero Revenue]]/Table1[[Employees - 2015]:[Employees - 2015]]</f>
        <v>190041.98309859156</v>
      </c>
      <c r="N6" s="63">
        <f>Table1[[#This Row],[Total Aero revenue - 2015]]/Table1[[Employees - 2015]:[Employees - 2015]]</f>
        <v>147897.78309859155</v>
      </c>
      <c r="O6" s="38">
        <f>Table1[[#This Row],[Total enplanements - 2015]]/Table1[[TOTAL OPERATING EXPENSES - 2015]:[TOTAL OPERATING EXPENSES - 2015]]</f>
        <v>7.2240473266206973E-2</v>
      </c>
      <c r="P6" s="38">
        <f>Table1[[#This Row],[Annual aircraft operations - 2015]]/Table1[[TOTAL OPERATING EXPENSES - 2015]:[TOTAL OPERATING EXPENSES - 2015]]</f>
        <v>2.3706187792552342E-3</v>
      </c>
      <c r="Q6" s="37">
        <f>Table1[[#This Row],[Total Non Aero Revenue]]/Table1[[TOTAL OPERATING EXPENSES - 2015]:[TOTAL OPERATING EXPENSES - 2015]]</f>
        <v>0.8413969221702936</v>
      </c>
      <c r="R6" s="37">
        <f>Table1[[#This Row],[Total Aero revenue - 2015]]/Table1[[TOTAL OPERATING EXPENSES - 2015]:[TOTAL OPERATING EXPENSES - 2015]]</f>
        <v>0.65480657203206616</v>
      </c>
    </row>
    <row r="7" spans="2:18" x14ac:dyDescent="0.2">
      <c r="B7" t="s">
        <v>63</v>
      </c>
      <c r="C7" s="22" t="s">
        <v>64</v>
      </c>
      <c r="D7" s="53">
        <v>550</v>
      </c>
      <c r="E7" s="54">
        <v>167556036</v>
      </c>
      <c r="F7" s="53">
        <v>11412595</v>
      </c>
      <c r="G7" s="54">
        <v>243255</v>
      </c>
      <c r="H7" s="54">
        <v>84226589</v>
      </c>
      <c r="I7" s="54">
        <v>131326458</v>
      </c>
      <c r="J7" s="35" t="str">
        <f>IF(Table1[[#This Row],[TOTAL OPERATING EXPENSES - 2015]]&gt;100000000,"yes","no")</f>
        <v>yes</v>
      </c>
      <c r="K7" s="63">
        <f>Table1[[#This Row],[Total enplanements - 2015]]/Table1[[Employees - 2015]:[Employees - 2015]]</f>
        <v>20750.172727272726</v>
      </c>
      <c r="L7" s="63">
        <f>Table1[[#This Row],[Annual aircraft operations - 2015]]/Table1[[Employees - 2015]:[Employees - 2015]]</f>
        <v>442.28181818181821</v>
      </c>
      <c r="M7" s="63">
        <f>Table1[[#This Row],[Total Non Aero Revenue]]/Table1[[Employees - 2015]:[Employees - 2015]]</f>
        <v>153139.25272727272</v>
      </c>
      <c r="N7" s="63">
        <f>Table1[[#This Row],[Total Aero revenue - 2015]]/Table1[[Employees - 2015]:[Employees - 2015]]</f>
        <v>238775.37818181817</v>
      </c>
      <c r="O7" s="38">
        <f>Table1[[#This Row],[Total enplanements - 2015]]/Table1[[TOTAL OPERATING EXPENSES - 2015]:[TOTAL OPERATING EXPENSES - 2015]]</f>
        <v>6.8112109073766816E-2</v>
      </c>
      <c r="P7" s="38">
        <f>Table1[[#This Row],[Annual aircraft operations - 2015]]/Table1[[TOTAL OPERATING EXPENSES - 2015]:[TOTAL OPERATING EXPENSES - 2015]]</f>
        <v>1.451782972473758E-3</v>
      </c>
      <c r="Q7" s="37">
        <f>Table1[[#This Row],[Total Non Aero Revenue]]/Table1[[TOTAL OPERATING EXPENSES - 2015]:[TOTAL OPERATING EXPENSES - 2015]]</f>
        <v>0.50267714020162191</v>
      </c>
      <c r="R7" s="37">
        <f>Table1[[#This Row],[Total Aero revenue - 2015]]/Table1[[TOTAL OPERATING EXPENSES - 2015]:[TOTAL OPERATING EXPENSES - 2015]]</f>
        <v>0.78377634811078967</v>
      </c>
    </row>
    <row r="8" spans="2:18" x14ac:dyDescent="0.2">
      <c r="B8" t="s">
        <v>65</v>
      </c>
      <c r="C8" s="22" t="s">
        <v>66</v>
      </c>
      <c r="D8" s="53">
        <v>103</v>
      </c>
      <c r="E8" s="54">
        <v>12266958</v>
      </c>
      <c r="F8" s="53">
        <v>234830</v>
      </c>
      <c r="G8" s="54">
        <v>40463</v>
      </c>
      <c r="H8" s="54">
        <v>4419289</v>
      </c>
      <c r="I8" s="54">
        <v>7616926</v>
      </c>
      <c r="J8" s="35" t="str">
        <f>IF(Table1[[#This Row],[TOTAL OPERATING EXPENSES - 2015]]&gt;100000000,"yes","no")</f>
        <v>no</v>
      </c>
      <c r="K8" s="63">
        <f>Table1[[#This Row],[Total enplanements - 2015]]/Table1[[Employees - 2015]:[Employees - 2015]]</f>
        <v>2279.9029126213591</v>
      </c>
      <c r="L8" s="63">
        <f>Table1[[#This Row],[Annual aircraft operations - 2015]]/Table1[[Employees - 2015]:[Employees - 2015]]</f>
        <v>392.84466019417476</v>
      </c>
      <c r="M8" s="63">
        <f>Table1[[#This Row],[Total Non Aero Revenue]]/Table1[[Employees - 2015]:[Employees - 2015]]</f>
        <v>42905.718446601939</v>
      </c>
      <c r="N8" s="63">
        <f>Table1[[#This Row],[Total Aero revenue - 2015]]/Table1[[Employees - 2015]:[Employees - 2015]]</f>
        <v>73950.737864077673</v>
      </c>
      <c r="O8" s="38">
        <f>Table1[[#This Row],[Total enplanements - 2015]]/Table1[[TOTAL OPERATING EXPENSES - 2015]:[TOTAL OPERATING EXPENSES - 2015]]</f>
        <v>1.9143295346735516E-2</v>
      </c>
      <c r="P8" s="38">
        <f>Table1[[#This Row],[Annual aircraft operations - 2015]]/Table1[[TOTAL OPERATING EXPENSES - 2015]:[TOTAL OPERATING EXPENSES - 2015]]</f>
        <v>3.2985357902097653E-3</v>
      </c>
      <c r="Q8" s="37">
        <f>Table1[[#This Row],[Total Non Aero Revenue]]/Table1[[TOTAL OPERATING EXPENSES - 2015]:[TOTAL OPERATING EXPENSES - 2015]]</f>
        <v>0.36025956883524018</v>
      </c>
      <c r="R8" s="37">
        <f>Table1[[#This Row],[Total Aero revenue - 2015]]/Table1[[TOTAL OPERATING EXPENSES - 2015]:[TOTAL OPERATING EXPENSES - 2015]]</f>
        <v>0.62093030725302878</v>
      </c>
    </row>
    <row r="9" spans="2:18" x14ac:dyDescent="0.2">
      <c r="B9" t="s">
        <v>67</v>
      </c>
      <c r="C9" s="22" t="s">
        <v>68</v>
      </c>
      <c r="D9" s="53">
        <v>134</v>
      </c>
      <c r="E9" s="54">
        <v>27485962</v>
      </c>
      <c r="F9" s="53">
        <v>1330235</v>
      </c>
      <c r="G9" s="54">
        <v>37630</v>
      </c>
      <c r="H9" s="54">
        <v>21744153</v>
      </c>
      <c r="I9" s="54">
        <v>22309371</v>
      </c>
      <c r="J9" s="35" t="str">
        <f>IF(Table1[[#This Row],[TOTAL OPERATING EXPENSES - 2015]]&gt;100000000,"yes","no")</f>
        <v>no</v>
      </c>
      <c r="K9" s="63">
        <f>Table1[[#This Row],[Total enplanements - 2015]]/Table1[[Employees - 2015]:[Employees - 2015]]</f>
        <v>9927.126865671642</v>
      </c>
      <c r="L9" s="63">
        <f>Table1[[#This Row],[Annual aircraft operations - 2015]]/Table1[[Employees - 2015]:[Employees - 2015]]</f>
        <v>280.82089552238807</v>
      </c>
      <c r="M9" s="63">
        <f>Table1[[#This Row],[Total Non Aero Revenue]]/Table1[[Employees - 2015]:[Employees - 2015]]</f>
        <v>162269.79850746269</v>
      </c>
      <c r="N9" s="63">
        <f>Table1[[#This Row],[Total Aero revenue - 2015]]/Table1[[Employees - 2015]:[Employees - 2015]]</f>
        <v>166487.8432835821</v>
      </c>
      <c r="O9" s="38">
        <f>Table1[[#This Row],[Total enplanements - 2015]]/Table1[[TOTAL OPERATING EXPENSES - 2015]:[TOTAL OPERATING EXPENSES - 2015]]</f>
        <v>4.8396887109135929E-2</v>
      </c>
      <c r="P9" s="38">
        <f>Table1[[#This Row],[Annual aircraft operations - 2015]]/Table1[[TOTAL OPERATING EXPENSES - 2015]:[TOTAL OPERATING EXPENSES - 2015]]</f>
        <v>1.3690625054345925E-3</v>
      </c>
      <c r="Q9" s="37">
        <f>Table1[[#This Row],[Total Non Aero Revenue]]/Table1[[TOTAL OPERATING EXPENSES - 2015]:[TOTAL OPERATING EXPENSES - 2015]]</f>
        <v>0.79110030785897179</v>
      </c>
      <c r="R9" s="37">
        <f>Table1[[#This Row],[Total Aero revenue - 2015]]/Table1[[TOTAL OPERATING EXPENSES - 2015]:[TOTAL OPERATING EXPENSES - 2015]]</f>
        <v>0.81166418697661014</v>
      </c>
    </row>
    <row r="10" spans="2:18" x14ac:dyDescent="0.2">
      <c r="B10" t="s">
        <v>69</v>
      </c>
      <c r="C10" s="22" t="s">
        <v>70</v>
      </c>
      <c r="D10" s="53">
        <v>102</v>
      </c>
      <c r="E10" s="54">
        <v>19130905</v>
      </c>
      <c r="F10" s="53">
        <v>1456633</v>
      </c>
      <c r="G10" s="54">
        <v>132047</v>
      </c>
      <c r="H10" s="54">
        <v>19019274</v>
      </c>
      <c r="I10" s="54">
        <v>9067149</v>
      </c>
      <c r="J10" s="35" t="str">
        <f>IF(Table1[[#This Row],[TOTAL OPERATING EXPENSES - 2015]]&gt;100000000,"yes","no")</f>
        <v>no</v>
      </c>
      <c r="K10" s="63">
        <f>Table1[[#This Row],[Total enplanements - 2015]]/Table1[[Employees - 2015]:[Employees - 2015]]</f>
        <v>14280.715686274511</v>
      </c>
      <c r="L10" s="63">
        <f>Table1[[#This Row],[Annual aircraft operations - 2015]]/Table1[[Employees - 2015]:[Employees - 2015]]</f>
        <v>1294.5784313725489</v>
      </c>
      <c r="M10" s="63">
        <f>Table1[[#This Row],[Total Non Aero Revenue]]/Table1[[Employees - 2015]:[Employees - 2015]]</f>
        <v>186463.4705882353</v>
      </c>
      <c r="N10" s="63">
        <f>Table1[[#This Row],[Total Aero revenue - 2015]]/Table1[[Employees - 2015]:[Employees - 2015]]</f>
        <v>88893.617647058825</v>
      </c>
      <c r="O10" s="38">
        <f>Table1[[#This Row],[Total enplanements - 2015]]/Table1[[TOTAL OPERATING EXPENSES - 2015]:[TOTAL OPERATING EXPENSES - 2015]]</f>
        <v>7.6140308051291877E-2</v>
      </c>
      <c r="P10" s="38">
        <f>Table1[[#This Row],[Annual aircraft operations - 2015]]/Table1[[TOTAL OPERATING EXPENSES - 2015]:[TOTAL OPERATING EXPENSES - 2015]]</f>
        <v>6.9022871631007525E-3</v>
      </c>
      <c r="Q10" s="37">
        <f>Table1[[#This Row],[Total Non Aero Revenue]]/Table1[[TOTAL OPERATING EXPENSES - 2015]:[TOTAL OPERATING EXPENSES - 2015]]</f>
        <v>0.99416488660625313</v>
      </c>
      <c r="R10" s="37">
        <f>Table1[[#This Row],[Total Aero revenue - 2015]]/Table1[[TOTAL OPERATING EXPENSES - 2015]:[TOTAL OPERATING EXPENSES - 2015]]</f>
        <v>0.47395295726992531</v>
      </c>
    </row>
    <row r="11" spans="2:18" x14ac:dyDescent="0.2">
      <c r="B11" t="s">
        <v>71</v>
      </c>
      <c r="C11" s="22" t="s">
        <v>72</v>
      </c>
      <c r="D11" s="53">
        <v>117</v>
      </c>
      <c r="E11" s="54">
        <v>49166569</v>
      </c>
      <c r="F11" s="53">
        <v>2968538</v>
      </c>
      <c r="G11" s="54">
        <v>95055</v>
      </c>
      <c r="H11" s="54">
        <v>28290314</v>
      </c>
      <c r="I11" s="54">
        <v>36210065</v>
      </c>
      <c r="J11" s="35" t="str">
        <f>IF(Table1[[#This Row],[TOTAL OPERATING EXPENSES - 2015]]&gt;100000000,"yes","no")</f>
        <v>no</v>
      </c>
      <c r="K11" s="63">
        <f>Table1[[#This Row],[Total enplanements - 2015]]/Table1[[Employees - 2015]:[Employees - 2015]]</f>
        <v>25372.119658119656</v>
      </c>
      <c r="L11" s="63">
        <f>Table1[[#This Row],[Annual aircraft operations - 2015]]/Table1[[Employees - 2015]:[Employees - 2015]]</f>
        <v>812.43589743589746</v>
      </c>
      <c r="M11" s="63">
        <f>Table1[[#This Row],[Total Non Aero Revenue]]/Table1[[Employees - 2015]:[Employees - 2015]]</f>
        <v>241797.55555555556</v>
      </c>
      <c r="N11" s="63">
        <f>Table1[[#This Row],[Total Aero revenue - 2015]]/Table1[[Employees - 2015]:[Employees - 2015]]</f>
        <v>309487.73504273506</v>
      </c>
      <c r="O11" s="38">
        <f>Table1[[#This Row],[Total enplanements - 2015]]/Table1[[TOTAL OPERATING EXPENSES - 2015]:[TOTAL OPERATING EXPENSES - 2015]]</f>
        <v>6.0377164003451209E-2</v>
      </c>
      <c r="P11" s="38">
        <f>Table1[[#This Row],[Annual aircraft operations - 2015]]/Table1[[TOTAL OPERATING EXPENSES - 2015]:[TOTAL OPERATING EXPENSES - 2015]]</f>
        <v>1.9333258743354656E-3</v>
      </c>
      <c r="Q11" s="37">
        <f>Table1[[#This Row],[Total Non Aero Revenue]]/Table1[[TOTAL OPERATING EXPENSES - 2015]:[TOTAL OPERATING EXPENSES - 2015]]</f>
        <v>0.57539735994187435</v>
      </c>
      <c r="R11" s="37">
        <f>Table1[[#This Row],[Total Aero revenue - 2015]]/Table1[[TOTAL OPERATING EXPENSES - 2015]:[TOTAL OPERATING EXPENSES - 2015]]</f>
        <v>0.73647736127367358</v>
      </c>
    </row>
    <row r="12" spans="2:18" x14ac:dyDescent="0.2">
      <c r="B12" t="s">
        <v>73</v>
      </c>
      <c r="C12" s="22" t="s">
        <v>74</v>
      </c>
      <c r="D12" s="53">
        <v>151</v>
      </c>
      <c r="E12" s="54">
        <v>38249302</v>
      </c>
      <c r="F12" s="53">
        <v>1953558</v>
      </c>
      <c r="G12" s="54">
        <v>121679</v>
      </c>
      <c r="H12" s="54">
        <v>34667217</v>
      </c>
      <c r="I12" s="54">
        <v>14447485</v>
      </c>
      <c r="J12" s="35" t="str">
        <f>IF(Table1[[#This Row],[TOTAL OPERATING EXPENSES - 2015]]&gt;100000000,"yes","no")</f>
        <v>no</v>
      </c>
      <c r="K12" s="63">
        <f>Table1[[#This Row],[Total enplanements - 2015]]/Table1[[Employees - 2015]:[Employees - 2015]]</f>
        <v>12937.470198675497</v>
      </c>
      <c r="L12" s="63">
        <f>Table1[[#This Row],[Annual aircraft operations - 2015]]/Table1[[Employees - 2015]:[Employees - 2015]]</f>
        <v>805.82119205298011</v>
      </c>
      <c r="M12" s="63">
        <f>Table1[[#This Row],[Total Non Aero Revenue]]/Table1[[Employees - 2015]:[Employees - 2015]]</f>
        <v>229584.21854304636</v>
      </c>
      <c r="N12" s="63">
        <f>Table1[[#This Row],[Total Aero revenue - 2015]]/Table1[[Employees - 2015]:[Employees - 2015]]</f>
        <v>95678.708609271518</v>
      </c>
      <c r="O12" s="38">
        <f>Table1[[#This Row],[Total enplanements - 2015]]/Table1[[TOTAL OPERATING EXPENSES - 2015]:[TOTAL OPERATING EXPENSES - 2015]]</f>
        <v>5.1074343788025202E-2</v>
      </c>
      <c r="P12" s="38">
        <f>Table1[[#This Row],[Annual aircraft operations - 2015]]/Table1[[TOTAL OPERATING EXPENSES - 2015]:[TOTAL OPERATING EXPENSES - 2015]]</f>
        <v>3.1812083786522433E-3</v>
      </c>
      <c r="Q12" s="37">
        <f>Table1[[#This Row],[Total Non Aero Revenue]]/Table1[[TOTAL OPERATING EXPENSES - 2015]:[TOTAL OPERATING EXPENSES - 2015]]</f>
        <v>0.90634900997670498</v>
      </c>
      <c r="R12" s="37">
        <f>Table1[[#This Row],[Total Aero revenue - 2015]]/Table1[[TOTAL OPERATING EXPENSES - 2015]:[TOTAL OPERATING EXPENSES - 2015]]</f>
        <v>0.37771891889687292</v>
      </c>
    </row>
    <row r="13" spans="2:18" x14ac:dyDescent="0.2">
      <c r="B13" t="s">
        <v>75</v>
      </c>
      <c r="C13" s="22" t="s">
        <v>76</v>
      </c>
      <c r="D13" s="53">
        <v>161</v>
      </c>
      <c r="E13" s="54">
        <v>15030897</v>
      </c>
      <c r="F13" s="53">
        <v>1630094</v>
      </c>
      <c r="G13" s="54">
        <v>111563</v>
      </c>
      <c r="H13" s="54">
        <v>19502482</v>
      </c>
      <c r="I13" s="54">
        <v>10886167</v>
      </c>
      <c r="J13" s="35" t="str">
        <f>IF(Table1[[#This Row],[TOTAL OPERATING EXPENSES - 2015]]&gt;100000000,"yes","no")</f>
        <v>no</v>
      </c>
      <c r="K13" s="63">
        <f>Table1[[#This Row],[Total enplanements - 2015]]/Table1[[Employees - 2015]:[Employees - 2015]]</f>
        <v>10124.80745341615</v>
      </c>
      <c r="L13" s="63">
        <f>Table1[[#This Row],[Annual aircraft operations - 2015]]/Table1[[Employees - 2015]:[Employees - 2015]]</f>
        <v>692.93788819875772</v>
      </c>
      <c r="M13" s="63">
        <f>Table1[[#This Row],[Total Non Aero Revenue]]/Table1[[Employees - 2015]:[Employees - 2015]]</f>
        <v>121133.42857142857</v>
      </c>
      <c r="N13" s="63">
        <f>Table1[[#This Row],[Total Aero revenue - 2015]]/Table1[[Employees - 2015]:[Employees - 2015]]</f>
        <v>67615.944099378888</v>
      </c>
      <c r="O13" s="38">
        <f>Table1[[#This Row],[Total enplanements - 2015]]/Table1[[TOTAL OPERATING EXPENSES - 2015]:[TOTAL OPERATING EXPENSES - 2015]]</f>
        <v>0.10844954895240118</v>
      </c>
      <c r="P13" s="38">
        <f>Table1[[#This Row],[Annual aircraft operations - 2015]]/Table1[[TOTAL OPERATING EXPENSES - 2015]:[TOTAL OPERATING EXPENSES - 2015]]</f>
        <v>7.4222449930965526E-3</v>
      </c>
      <c r="Q13" s="37">
        <f>Table1[[#This Row],[Total Non Aero Revenue]]/Table1[[TOTAL OPERATING EXPENSES - 2015]:[TOTAL OPERATING EXPENSES - 2015]]</f>
        <v>1.2974928908101759</v>
      </c>
      <c r="R13" s="37">
        <f>Table1[[#This Row],[Total Aero revenue - 2015]]/Table1[[TOTAL OPERATING EXPENSES - 2015]:[TOTAL OPERATING EXPENSES - 2015]]</f>
        <v>0.72425265105602143</v>
      </c>
    </row>
    <row r="14" spans="2:18" x14ac:dyDescent="0.2">
      <c r="B14" t="s">
        <v>77</v>
      </c>
      <c r="C14" s="22" t="s">
        <v>78</v>
      </c>
      <c r="D14" s="53">
        <v>391</v>
      </c>
      <c r="E14" s="54">
        <v>105277999</v>
      </c>
      <c r="F14" s="53">
        <v>22190002</v>
      </c>
      <c r="G14" s="54">
        <v>546456</v>
      </c>
      <c r="H14" s="54">
        <v>107556265</v>
      </c>
      <c r="I14" s="54">
        <v>86157727</v>
      </c>
      <c r="J14" s="35" t="str">
        <f>IF(Table1[[#This Row],[TOTAL OPERATING EXPENSES - 2015]]&gt;100000000,"yes","no")</f>
        <v>yes</v>
      </c>
      <c r="K14" s="63">
        <f>Table1[[#This Row],[Total enplanements - 2015]]/Table1[[Employees - 2015]:[Employees - 2015]]</f>
        <v>56751.923273657289</v>
      </c>
      <c r="L14" s="63">
        <f>Table1[[#This Row],[Annual aircraft operations - 2015]]/Table1[[Employees - 2015]:[Employees - 2015]]</f>
        <v>1397.5856777493607</v>
      </c>
      <c r="M14" s="63">
        <f>Table1[[#This Row],[Total Non Aero Revenue]]/Table1[[Employees - 2015]:[Employees - 2015]]</f>
        <v>275079.96163682867</v>
      </c>
      <c r="N14" s="63">
        <f>Table1[[#This Row],[Total Aero revenue - 2015]]/Table1[[Employees - 2015]:[Employees - 2015]]</f>
        <v>220352.24296675192</v>
      </c>
      <c r="O14" s="38">
        <f>Table1[[#This Row],[Total enplanements - 2015]]/Table1[[TOTAL OPERATING EXPENSES - 2015]:[TOTAL OPERATING EXPENSES - 2015]]</f>
        <v>0.2107753016848278</v>
      </c>
      <c r="P14" s="38">
        <f>Table1[[#This Row],[Annual aircraft operations - 2015]]/Table1[[TOTAL OPERATING EXPENSES - 2015]:[TOTAL OPERATING EXPENSES - 2015]]</f>
        <v>5.1906001746860712E-3</v>
      </c>
      <c r="Q14" s="37">
        <f>Table1[[#This Row],[Total Non Aero Revenue]]/Table1[[TOTAL OPERATING EXPENSES - 2015]:[TOTAL OPERATING EXPENSES - 2015]]</f>
        <v>1.0216404758984827</v>
      </c>
      <c r="R14" s="37">
        <f>Table1[[#This Row],[Total Aero revenue - 2015]]/Table1[[TOTAL OPERATING EXPENSES - 2015]:[TOTAL OPERATING EXPENSES - 2015]]</f>
        <v>0.81838302226849891</v>
      </c>
    </row>
    <row r="15" spans="2:18" x14ac:dyDescent="0.2">
      <c r="B15" t="s">
        <v>79</v>
      </c>
      <c r="C15" s="22" t="s">
        <v>80</v>
      </c>
      <c r="D15" s="53">
        <v>195</v>
      </c>
      <c r="E15" s="54">
        <v>183875850</v>
      </c>
      <c r="F15" s="53">
        <v>11118223</v>
      </c>
      <c r="G15" s="54">
        <v>253519</v>
      </c>
      <c r="H15" s="54">
        <v>66439280</v>
      </c>
      <c r="I15" s="54">
        <v>109679926</v>
      </c>
      <c r="J15" s="35" t="str">
        <f>IF(Table1[[#This Row],[TOTAL OPERATING EXPENSES - 2015]]&gt;100000000,"yes","no")</f>
        <v>yes</v>
      </c>
      <c r="K15" s="63">
        <f>Table1[[#This Row],[Total enplanements - 2015]]/Table1[[Employees - 2015]:[Employees - 2015]]</f>
        <v>57016.528205128205</v>
      </c>
      <c r="L15" s="63">
        <f>Table1[[#This Row],[Annual aircraft operations - 2015]]/Table1[[Employees - 2015]:[Employees - 2015]]</f>
        <v>1300.0974358974358</v>
      </c>
      <c r="M15" s="63">
        <f>Table1[[#This Row],[Total Non Aero Revenue]]/Table1[[Employees - 2015]:[Employees - 2015]]</f>
        <v>340714.25641025644</v>
      </c>
      <c r="N15" s="63">
        <f>Table1[[#This Row],[Total Aero revenue - 2015]]/Table1[[Employees - 2015]:[Employees - 2015]]</f>
        <v>562461.15897435893</v>
      </c>
      <c r="O15" s="38">
        <f>Table1[[#This Row],[Total enplanements - 2015]]/Table1[[TOTAL OPERATING EXPENSES - 2015]:[TOTAL OPERATING EXPENSES - 2015]]</f>
        <v>6.0465923067112945E-2</v>
      </c>
      <c r="P15" s="38">
        <f>Table1[[#This Row],[Annual aircraft operations - 2015]]/Table1[[TOTAL OPERATING EXPENSES - 2015]:[TOTAL OPERATING EXPENSES - 2015]]</f>
        <v>1.3787509343940491E-3</v>
      </c>
      <c r="Q15" s="37">
        <f>Table1[[#This Row],[Total Non Aero Revenue]]/Table1[[TOTAL OPERATING EXPENSES - 2015]:[TOTAL OPERATING EXPENSES - 2015]]</f>
        <v>0.36132684090923306</v>
      </c>
      <c r="R15" s="37">
        <f>Table1[[#This Row],[Total Aero revenue - 2015]]/Table1[[TOTAL OPERATING EXPENSES - 2015]:[TOTAL OPERATING EXPENSES - 2015]]</f>
        <v>0.5964890223485031</v>
      </c>
    </row>
    <row r="16" spans="2:18" x14ac:dyDescent="0.2">
      <c r="B16" t="s">
        <v>81</v>
      </c>
      <c r="C16" s="22" t="s">
        <v>82</v>
      </c>
      <c r="D16" s="53">
        <v>1301</v>
      </c>
      <c r="E16" s="54">
        <v>805709978</v>
      </c>
      <c r="F16" s="53">
        <v>38395905</v>
      </c>
      <c r="G16" s="54">
        <v>875136</v>
      </c>
      <c r="H16" s="54">
        <v>265093272</v>
      </c>
      <c r="I16" s="54">
        <v>580135414</v>
      </c>
      <c r="J16" s="35" t="str">
        <f>IF(Table1[[#This Row],[TOTAL OPERATING EXPENSES - 2015]]&gt;100000000,"yes","no")</f>
        <v>yes</v>
      </c>
      <c r="K16" s="63">
        <f>Table1[[#This Row],[Total enplanements - 2015]]/Table1[[Employees - 2015]:[Employees - 2015]]</f>
        <v>29512.6095311299</v>
      </c>
      <c r="L16" s="63">
        <f>Table1[[#This Row],[Annual aircraft operations - 2015]]/Table1[[Employees - 2015]:[Employees - 2015]]</f>
        <v>672.66410453497315</v>
      </c>
      <c r="M16" s="63">
        <f>Table1[[#This Row],[Total Non Aero Revenue]]/Table1[[Employees - 2015]:[Employees - 2015]]</f>
        <v>203761.16218293621</v>
      </c>
      <c r="N16" s="63">
        <f>Table1[[#This Row],[Total Aero revenue - 2015]]/Table1[[Employees - 2015]:[Employees - 2015]]</f>
        <v>445914.9992313605</v>
      </c>
      <c r="O16" s="38">
        <f>Table1[[#This Row],[Total enplanements - 2015]]/Table1[[TOTAL OPERATING EXPENSES - 2015]:[TOTAL OPERATING EXPENSES - 2015]]</f>
        <v>4.7654746805183543E-2</v>
      </c>
      <c r="P16" s="38">
        <f>Table1[[#This Row],[Annual aircraft operations - 2015]]/Table1[[TOTAL OPERATING EXPENSES - 2015]:[TOTAL OPERATING EXPENSES - 2015]]</f>
        <v>1.0861675092721764E-3</v>
      </c>
      <c r="Q16" s="37">
        <f>Table1[[#This Row],[Total Non Aero Revenue]]/Table1[[TOTAL OPERATING EXPENSES - 2015]:[TOTAL OPERATING EXPENSES - 2015]]</f>
        <v>0.32901823142123232</v>
      </c>
      <c r="R16" s="37">
        <f>Table1[[#This Row],[Total Aero revenue - 2015]]/Table1[[TOTAL OPERATING EXPENSES - 2015]:[TOTAL OPERATING EXPENSES - 2015]]</f>
        <v>0.72003007265723595</v>
      </c>
    </row>
    <row r="17" spans="2:18" x14ac:dyDescent="0.2">
      <c r="B17" t="s">
        <v>83</v>
      </c>
      <c r="C17" s="22" t="s">
        <v>84</v>
      </c>
      <c r="D17" s="53">
        <v>397</v>
      </c>
      <c r="E17" s="54">
        <v>79094906</v>
      </c>
      <c r="F17" s="53">
        <v>3160248</v>
      </c>
      <c r="G17" s="54">
        <v>133068</v>
      </c>
      <c r="H17" s="54">
        <v>45121244</v>
      </c>
      <c r="I17" s="54">
        <v>43221496</v>
      </c>
      <c r="J17" s="35" t="str">
        <f>IF(Table1[[#This Row],[TOTAL OPERATING EXPENSES - 2015]]&gt;100000000,"yes","no")</f>
        <v>no</v>
      </c>
      <c r="K17" s="63">
        <f>Table1[[#This Row],[Total enplanements - 2015]]/Table1[[Employees - 2015]:[Employees - 2015]]</f>
        <v>7960.3224181360201</v>
      </c>
      <c r="L17" s="63">
        <f>Table1[[#This Row],[Annual aircraft operations - 2015]]/Table1[[Employees - 2015]:[Employees - 2015]]</f>
        <v>335.18387909319898</v>
      </c>
      <c r="M17" s="63">
        <f>Table1[[#This Row],[Total Non Aero Revenue]]/Table1[[Employees - 2015]:[Employees - 2015]]</f>
        <v>113655.52644836273</v>
      </c>
      <c r="N17" s="63">
        <f>Table1[[#This Row],[Total Aero revenue - 2015]]/Table1[[Employees - 2015]:[Employees - 2015]]</f>
        <v>108870.26700251889</v>
      </c>
      <c r="O17" s="38">
        <f>Table1[[#This Row],[Total enplanements - 2015]]/Table1[[TOTAL OPERATING EXPENSES - 2015]:[TOTAL OPERATING EXPENSES - 2015]]</f>
        <v>3.9955139462457927E-2</v>
      </c>
      <c r="P17" s="38">
        <f>Table1[[#This Row],[Annual aircraft operations - 2015]]/Table1[[TOTAL OPERATING EXPENSES - 2015]:[TOTAL OPERATING EXPENSES - 2015]]</f>
        <v>1.6823839451809955E-3</v>
      </c>
      <c r="Q17" s="37">
        <f>Table1[[#This Row],[Total Non Aero Revenue]]/Table1[[TOTAL OPERATING EXPENSES - 2015]:[TOTAL OPERATING EXPENSES - 2015]]</f>
        <v>0.57046965831149732</v>
      </c>
      <c r="R17" s="37">
        <f>Table1[[#This Row],[Total Aero revenue - 2015]]/Table1[[TOTAL OPERATING EXPENSES - 2015]:[TOTAL OPERATING EXPENSES - 2015]]</f>
        <v>0.54645106980720104</v>
      </c>
    </row>
    <row r="18" spans="2:18" x14ac:dyDescent="0.2">
      <c r="B18" t="s">
        <v>85</v>
      </c>
      <c r="C18" s="22" t="s">
        <v>86</v>
      </c>
      <c r="D18" s="53">
        <v>387</v>
      </c>
      <c r="E18" s="54">
        <v>74841144</v>
      </c>
      <c r="F18" s="53">
        <v>3985993</v>
      </c>
      <c r="G18" s="54">
        <v>117773</v>
      </c>
      <c r="H18" s="54">
        <v>46390306</v>
      </c>
      <c r="I18" s="54">
        <v>82117889</v>
      </c>
      <c r="J18" s="35" t="str">
        <f>IF(Table1[[#This Row],[TOTAL OPERATING EXPENSES - 2015]]&gt;100000000,"yes","no")</f>
        <v>no</v>
      </c>
      <c r="K18" s="63">
        <f>Table1[[#This Row],[Total enplanements - 2015]]/Table1[[Employees - 2015]:[Employees - 2015]]</f>
        <v>10299.723514211886</v>
      </c>
      <c r="L18" s="63">
        <f>Table1[[#This Row],[Annual aircraft operations - 2015]]/Table1[[Employees - 2015]:[Employees - 2015]]</f>
        <v>304.32299741602066</v>
      </c>
      <c r="M18" s="63">
        <f>Table1[[#This Row],[Total Non Aero Revenue]]/Table1[[Employees - 2015]:[Employees - 2015]]</f>
        <v>119871.59173126615</v>
      </c>
      <c r="N18" s="63">
        <f>Table1[[#This Row],[Total Aero revenue - 2015]]/Table1[[Employees - 2015]:[Employees - 2015]]</f>
        <v>212190.9276485788</v>
      </c>
      <c r="O18" s="38">
        <f>Table1[[#This Row],[Total enplanements - 2015]]/Table1[[TOTAL OPERATING EXPENSES - 2015]:[TOTAL OPERATING EXPENSES - 2015]]</f>
        <v>5.3259380962963364E-2</v>
      </c>
      <c r="P18" s="38">
        <f>Table1[[#This Row],[Annual aircraft operations - 2015]]/Table1[[TOTAL OPERATING EXPENSES - 2015]:[TOTAL OPERATING EXPENSES - 2015]]</f>
        <v>1.573639761572859E-3</v>
      </c>
      <c r="Q18" s="37">
        <f>Table1[[#This Row],[Total Non Aero Revenue]]/Table1[[TOTAL OPERATING EXPENSES - 2015]:[TOTAL OPERATING EXPENSES - 2015]]</f>
        <v>0.61985030586918877</v>
      </c>
      <c r="R18" s="37">
        <f>Table1[[#This Row],[Total Aero revenue - 2015]]/Table1[[TOTAL OPERATING EXPENSES - 2015]:[TOTAL OPERATING EXPENSES - 2015]]</f>
        <v>1.0972292059031059</v>
      </c>
    </row>
    <row r="19" spans="2:18" x14ac:dyDescent="0.2">
      <c r="B19" t="s">
        <v>87</v>
      </c>
      <c r="C19" s="22" t="s">
        <v>88</v>
      </c>
      <c r="D19" s="53">
        <v>198</v>
      </c>
      <c r="E19" s="54">
        <v>52927998</v>
      </c>
      <c r="F19" s="53">
        <v>6720091</v>
      </c>
      <c r="G19" s="54">
        <v>209121</v>
      </c>
      <c r="H19" s="54">
        <v>56709504</v>
      </c>
      <c r="I19" s="54">
        <v>26678404</v>
      </c>
      <c r="J19" s="35" t="str">
        <f>IF(Table1[[#This Row],[TOTAL OPERATING EXPENSES - 2015]]&gt;100000000,"yes","no")</f>
        <v>no</v>
      </c>
      <c r="K19" s="63">
        <f>Table1[[#This Row],[Total enplanements - 2015]]/Table1[[Employees - 2015]:[Employees - 2015]]</f>
        <v>33939.853535353534</v>
      </c>
      <c r="L19" s="63">
        <f>Table1[[#This Row],[Annual aircraft operations - 2015]]/Table1[[Employees - 2015]:[Employees - 2015]]</f>
        <v>1056.1666666666667</v>
      </c>
      <c r="M19" s="63">
        <f>Table1[[#This Row],[Total Non Aero Revenue]]/Table1[[Employees - 2015]:[Employees - 2015]]</f>
        <v>286411.63636363635</v>
      </c>
      <c r="N19" s="63">
        <f>Table1[[#This Row],[Total Aero revenue - 2015]]/Table1[[Employees - 2015]:[Employees - 2015]]</f>
        <v>134739.41414141413</v>
      </c>
      <c r="O19" s="38">
        <f>Table1[[#This Row],[Total enplanements - 2015]]/Table1[[TOTAL OPERATING EXPENSES - 2015]:[TOTAL OPERATING EXPENSES - 2015]]</f>
        <v>0.12696665760907866</v>
      </c>
      <c r="P19" s="38">
        <f>Table1[[#This Row],[Annual aircraft operations - 2015]]/Table1[[TOTAL OPERATING EXPENSES - 2015]:[TOTAL OPERATING EXPENSES - 2015]]</f>
        <v>3.951046854256607E-3</v>
      </c>
      <c r="Q19" s="37">
        <f>Table1[[#This Row],[Total Non Aero Revenue]]/Table1[[TOTAL OPERATING EXPENSES - 2015]:[TOTAL OPERATING EXPENSES - 2015]]</f>
        <v>1.0714462315389295</v>
      </c>
      <c r="R19" s="37">
        <f>Table1[[#This Row],[Total Aero revenue - 2015]]/Table1[[TOTAL OPERATING EXPENSES - 2015]:[TOTAL OPERATING EXPENSES - 2015]]</f>
        <v>0.50405088059442571</v>
      </c>
    </row>
    <row r="20" spans="2:18" x14ac:dyDescent="0.2">
      <c r="B20" t="s">
        <v>89</v>
      </c>
      <c r="C20" s="22" t="s">
        <v>90</v>
      </c>
      <c r="D20" s="53">
        <v>1794</v>
      </c>
      <c r="E20" s="54">
        <v>480681780</v>
      </c>
      <c r="F20" s="53">
        <v>32455216</v>
      </c>
      <c r="G20" s="54">
        <v>671788</v>
      </c>
      <c r="H20" s="54">
        <v>367955881</v>
      </c>
      <c r="I20" s="54">
        <v>311137815</v>
      </c>
      <c r="J20" s="35" t="str">
        <f>IF(Table1[[#This Row],[TOTAL OPERATING EXPENSES - 2015]]&gt;100000000,"yes","no")</f>
        <v>yes</v>
      </c>
      <c r="K20" s="63">
        <f>Table1[[#This Row],[Total enplanements - 2015]]/Table1[[Employees - 2015]:[Employees - 2015]]</f>
        <v>18090.978818283165</v>
      </c>
      <c r="L20" s="63">
        <f>Table1[[#This Row],[Annual aircraft operations - 2015]]/Table1[[Employees - 2015]:[Employees - 2015]]</f>
        <v>374.463768115942</v>
      </c>
      <c r="M20" s="63">
        <f>Table1[[#This Row],[Total Non Aero Revenue]]/Table1[[Employees - 2015]:[Employees - 2015]]</f>
        <v>205103.61259754738</v>
      </c>
      <c r="N20" s="63">
        <f>Table1[[#This Row],[Total Aero revenue - 2015]]/Table1[[Employees - 2015]:[Employees - 2015]]</f>
        <v>173432.44983277592</v>
      </c>
      <c r="O20" s="38">
        <f>Table1[[#This Row],[Total enplanements - 2015]]/Table1[[TOTAL OPERATING EXPENSES - 2015]:[TOTAL OPERATING EXPENSES - 2015]]</f>
        <v>6.751913084785531E-2</v>
      </c>
      <c r="P20" s="38">
        <f>Table1[[#This Row],[Annual aircraft operations - 2015]]/Table1[[TOTAL OPERATING EXPENSES - 2015]:[TOTAL OPERATING EXPENSES - 2015]]</f>
        <v>1.3975732552209488E-3</v>
      </c>
      <c r="Q20" s="37">
        <f>Table1[[#This Row],[Total Non Aero Revenue]]/Table1[[TOTAL OPERATING EXPENSES - 2015]:[TOTAL OPERATING EXPENSES - 2015]]</f>
        <v>0.76548747281413498</v>
      </c>
      <c r="R20" s="37">
        <f>Table1[[#This Row],[Total Aero revenue - 2015]]/Table1[[TOTAL OPERATING EXPENSES - 2015]:[TOTAL OPERATING EXPENSES - 2015]]</f>
        <v>0.64728439467790932</v>
      </c>
    </row>
    <row r="21" spans="2:18" x14ac:dyDescent="0.2">
      <c r="B21" t="s">
        <v>91</v>
      </c>
      <c r="C21" s="22" t="s">
        <v>92</v>
      </c>
      <c r="D21" s="53">
        <v>145</v>
      </c>
      <c r="E21" s="54">
        <v>30365048</v>
      </c>
      <c r="F21" s="53">
        <v>1072620</v>
      </c>
      <c r="G21" s="54">
        <v>50173</v>
      </c>
      <c r="H21" s="54">
        <v>23171955</v>
      </c>
      <c r="I21" s="54">
        <v>8203719</v>
      </c>
      <c r="J21" s="35" t="str">
        <f>IF(Table1[[#This Row],[TOTAL OPERATING EXPENSES - 2015]]&gt;100000000,"yes","no")</f>
        <v>no</v>
      </c>
      <c r="K21" s="63">
        <f>Table1[[#This Row],[Total enplanements - 2015]]/Table1[[Employees - 2015]:[Employees - 2015]]</f>
        <v>7397.3793103448279</v>
      </c>
      <c r="L21" s="63">
        <f>Table1[[#This Row],[Annual aircraft operations - 2015]]/Table1[[Employees - 2015]:[Employees - 2015]]</f>
        <v>346.02068965517242</v>
      </c>
      <c r="M21" s="63">
        <f>Table1[[#This Row],[Total Non Aero Revenue]]/Table1[[Employees - 2015]:[Employees - 2015]]</f>
        <v>159806.58620689655</v>
      </c>
      <c r="N21" s="63">
        <f>Table1[[#This Row],[Total Aero revenue - 2015]]/Table1[[Employees - 2015]:[Employees - 2015]]</f>
        <v>56577.372413793106</v>
      </c>
      <c r="O21" s="38">
        <f>Table1[[#This Row],[Total enplanements - 2015]]/Table1[[TOTAL OPERATING EXPENSES - 2015]:[TOTAL OPERATING EXPENSES - 2015]]</f>
        <v>3.5324166126791567E-2</v>
      </c>
      <c r="P21" s="38">
        <f>Table1[[#This Row],[Annual aircraft operations - 2015]]/Table1[[TOTAL OPERATING EXPENSES - 2015]:[TOTAL OPERATING EXPENSES - 2015]]</f>
        <v>1.6523273732351748E-3</v>
      </c>
      <c r="Q21" s="37">
        <f>Table1[[#This Row],[Total Non Aero Revenue]]/Table1[[TOTAL OPERATING EXPENSES - 2015]:[TOTAL OPERATING EXPENSES - 2015]]</f>
        <v>0.76311274067473889</v>
      </c>
      <c r="R21" s="37">
        <f>Table1[[#This Row],[Total Aero revenue - 2015]]/Table1[[TOTAL OPERATING EXPENSES - 2015]:[TOTAL OPERATING EXPENSES - 2015]]</f>
        <v>0.27016980180633998</v>
      </c>
    </row>
    <row r="22" spans="2:18" x14ac:dyDescent="0.2">
      <c r="B22" t="s">
        <v>93</v>
      </c>
      <c r="C22" s="22" t="s">
        <v>94</v>
      </c>
      <c r="D22" s="53">
        <v>1275</v>
      </c>
      <c r="E22" s="54">
        <v>436802936</v>
      </c>
      <c r="F22" s="53">
        <v>27018929</v>
      </c>
      <c r="G22" s="54">
        <v>547648</v>
      </c>
      <c r="H22" s="54">
        <v>326695033</v>
      </c>
      <c r="I22" s="54">
        <v>360840720</v>
      </c>
      <c r="J22" s="35" t="str">
        <f>IF(Table1[[#This Row],[TOTAL OPERATING EXPENSES - 2015]]&gt;100000000,"yes","no")</f>
        <v>yes</v>
      </c>
      <c r="K22" s="63">
        <f>Table1[[#This Row],[Total enplanements - 2015]]/Table1[[Employees - 2015]:[Employees - 2015]]</f>
        <v>21191.316862745098</v>
      </c>
      <c r="L22" s="63">
        <f>Table1[[#This Row],[Annual aircraft operations - 2015]]/Table1[[Employees - 2015]:[Employees - 2015]]</f>
        <v>429.52784313725488</v>
      </c>
      <c r="M22" s="63">
        <f>Table1[[#This Row],[Total Non Aero Revenue]]/Table1[[Employees - 2015]:[Employees - 2015]]</f>
        <v>256231.39843137254</v>
      </c>
      <c r="N22" s="63">
        <f>Table1[[#This Row],[Total Aero revenue - 2015]]/Table1[[Employees - 2015]:[Employees - 2015]]</f>
        <v>283012.32941176469</v>
      </c>
      <c r="O22" s="38">
        <f>Table1[[#This Row],[Total enplanements - 2015]]/Table1[[TOTAL OPERATING EXPENSES - 2015]:[TOTAL OPERATING EXPENSES - 2015]]</f>
        <v>6.1856106663165836E-2</v>
      </c>
      <c r="P22" s="38">
        <f>Table1[[#This Row],[Annual aircraft operations - 2015]]/Table1[[TOTAL OPERATING EXPENSES - 2015]:[TOTAL OPERATING EXPENSES - 2015]]</f>
        <v>1.2537644664549598E-3</v>
      </c>
      <c r="Q22" s="37">
        <f>Table1[[#This Row],[Total Non Aero Revenue]]/Table1[[TOTAL OPERATING EXPENSES - 2015]:[TOTAL OPERATING EXPENSES - 2015]]</f>
        <v>0.74792316185347252</v>
      </c>
      <c r="R22" s="37">
        <f>Table1[[#This Row],[Total Aero revenue - 2015]]/Table1[[TOTAL OPERATING EXPENSES - 2015]:[TOTAL OPERATING EXPENSES - 2015]]</f>
        <v>0.82609499676073606</v>
      </c>
    </row>
    <row r="23" spans="2:18" x14ac:dyDescent="0.2">
      <c r="B23" t="s">
        <v>95</v>
      </c>
      <c r="C23" s="22" t="s">
        <v>96</v>
      </c>
      <c r="D23" s="53">
        <v>620</v>
      </c>
      <c r="E23" s="54">
        <v>211338834</v>
      </c>
      <c r="F23" s="53">
        <v>16443778</v>
      </c>
      <c r="G23" s="54">
        <v>380160</v>
      </c>
      <c r="H23" s="54">
        <v>144488684</v>
      </c>
      <c r="I23" s="54">
        <v>168780125</v>
      </c>
      <c r="J23" s="35" t="str">
        <f>IF(Table1[[#This Row],[TOTAL OPERATING EXPENSES - 2015]]&gt;100000000,"yes","no")</f>
        <v>yes</v>
      </c>
      <c r="K23" s="63">
        <f>Table1[[#This Row],[Total enplanements - 2015]]/Table1[[Employees - 2015]:[Employees - 2015]]</f>
        <v>26522.222580645161</v>
      </c>
      <c r="L23" s="63">
        <f>Table1[[#This Row],[Annual aircraft operations - 2015]]/Table1[[Employees - 2015]:[Employees - 2015]]</f>
        <v>613.16129032258061</v>
      </c>
      <c r="M23" s="63">
        <f>Table1[[#This Row],[Total Non Aero Revenue]]/Table1[[Employees - 2015]:[Employees - 2015]]</f>
        <v>233046.26451612904</v>
      </c>
      <c r="N23" s="63">
        <f>Table1[[#This Row],[Total Aero revenue - 2015]]/Table1[[Employees - 2015]:[Employees - 2015]]</f>
        <v>272226.00806451612</v>
      </c>
      <c r="O23" s="38">
        <f>Table1[[#This Row],[Total enplanements - 2015]]/Table1[[TOTAL OPERATING EXPENSES - 2015]:[TOTAL OPERATING EXPENSES - 2015]]</f>
        <v>7.7807649870917719E-2</v>
      </c>
      <c r="P23" s="38">
        <f>Table1[[#This Row],[Annual aircraft operations - 2015]]/Table1[[TOTAL OPERATING EXPENSES - 2015]:[TOTAL OPERATING EXPENSES - 2015]]</f>
        <v>1.7988175329859159E-3</v>
      </c>
      <c r="Q23" s="37">
        <f>Table1[[#This Row],[Total Non Aero Revenue]]/Table1[[TOTAL OPERATING EXPENSES - 2015]:[TOTAL OPERATING EXPENSES - 2015]]</f>
        <v>0.68368260231813338</v>
      </c>
      <c r="R23" s="37">
        <f>Table1[[#This Row],[Total Aero revenue - 2015]]/Table1[[TOTAL OPERATING EXPENSES - 2015]:[TOTAL OPERATING EXPENSES - 2015]]</f>
        <v>0.79862333772504868</v>
      </c>
    </row>
    <row r="24" spans="2:18" x14ac:dyDescent="0.2">
      <c r="B24" t="s">
        <v>97</v>
      </c>
      <c r="C24" s="22" t="s">
        <v>98</v>
      </c>
      <c r="D24" s="53">
        <v>226</v>
      </c>
      <c r="E24" s="54">
        <v>30052057</v>
      </c>
      <c r="F24" s="53">
        <v>1369943</v>
      </c>
      <c r="G24" s="54">
        <v>83990</v>
      </c>
      <c r="H24" s="54">
        <v>24119424</v>
      </c>
      <c r="I24" s="54">
        <v>13069205</v>
      </c>
      <c r="J24" s="35" t="str">
        <f>IF(Table1[[#This Row],[TOTAL OPERATING EXPENSES - 2015]]&gt;100000000,"yes","no")</f>
        <v>no</v>
      </c>
      <c r="K24" s="63">
        <f>Table1[[#This Row],[Total enplanements - 2015]]/Table1[[Employees - 2015]:[Employees - 2015]]</f>
        <v>6061.6946902654863</v>
      </c>
      <c r="L24" s="63">
        <f>Table1[[#This Row],[Annual aircraft operations - 2015]]/Table1[[Employees - 2015]:[Employees - 2015]]</f>
        <v>371.63716814159289</v>
      </c>
      <c r="M24" s="63">
        <f>Table1[[#This Row],[Total Non Aero Revenue]]/Table1[[Employees - 2015]:[Employees - 2015]]</f>
        <v>106723.11504424778</v>
      </c>
      <c r="N24" s="63">
        <f>Table1[[#This Row],[Total Aero revenue - 2015]]/Table1[[Employees - 2015]:[Employees - 2015]]</f>
        <v>57828.340707964599</v>
      </c>
      <c r="O24" s="38">
        <f>Table1[[#This Row],[Total enplanements - 2015]]/Table1[[TOTAL OPERATING EXPENSES - 2015]:[TOTAL OPERATING EXPENSES - 2015]]</f>
        <v>4.5585664901407578E-2</v>
      </c>
      <c r="P24" s="38">
        <f>Table1[[#This Row],[Annual aircraft operations - 2015]]/Table1[[TOTAL OPERATING EXPENSES - 2015]:[TOTAL OPERATING EXPENSES - 2015]]</f>
        <v>2.7948170070354918E-3</v>
      </c>
      <c r="Q24" s="37">
        <f>Table1[[#This Row],[Total Non Aero Revenue]]/Table1[[TOTAL OPERATING EXPENSES - 2015]:[TOTAL OPERATING EXPENSES - 2015]]</f>
        <v>0.80258812233718313</v>
      </c>
      <c r="R24" s="37">
        <f>Table1[[#This Row],[Total Aero revenue - 2015]]/Table1[[TOTAL OPERATING EXPENSES - 2015]:[TOTAL OPERATING EXPENSES - 2015]]</f>
        <v>0.43488553878358477</v>
      </c>
    </row>
    <row r="25" spans="2:18" x14ac:dyDescent="0.2">
      <c r="B25" t="s">
        <v>99</v>
      </c>
      <c r="C25" s="22" t="s">
        <v>100</v>
      </c>
      <c r="D25" s="53">
        <v>157</v>
      </c>
      <c r="E25" s="54">
        <v>21136146</v>
      </c>
      <c r="F25" s="53">
        <v>2083896</v>
      </c>
      <c r="G25" s="54">
        <v>95544</v>
      </c>
      <c r="H25" s="54">
        <v>23854022</v>
      </c>
      <c r="I25" s="54">
        <v>18375039</v>
      </c>
      <c r="J25" s="35" t="str">
        <f>IF(Table1[[#This Row],[TOTAL OPERATING EXPENSES - 2015]]&gt;100000000,"yes","no")</f>
        <v>no</v>
      </c>
      <c r="K25" s="63">
        <f>Table1[[#This Row],[Total enplanements - 2015]]/Table1[[Employees - 2015]:[Employees - 2015]]</f>
        <v>13273.222929936306</v>
      </c>
      <c r="L25" s="63">
        <f>Table1[[#This Row],[Annual aircraft operations - 2015]]/Table1[[Employees - 2015]:[Employees - 2015]]</f>
        <v>608.56050955414014</v>
      </c>
      <c r="M25" s="63">
        <f>Table1[[#This Row],[Total Non Aero Revenue]]/Table1[[Employees - 2015]:[Employees - 2015]]</f>
        <v>151936.44585987262</v>
      </c>
      <c r="N25" s="63">
        <f>Table1[[#This Row],[Total Aero revenue - 2015]]/Table1[[Employees - 2015]:[Employees - 2015]]</f>
        <v>117038.46496815287</v>
      </c>
      <c r="O25" s="38">
        <f>Table1[[#This Row],[Total enplanements - 2015]]/Table1[[TOTAL OPERATING EXPENSES - 2015]:[TOTAL OPERATING EXPENSES - 2015]]</f>
        <v>9.8593944231838676E-2</v>
      </c>
      <c r="P25" s="38">
        <f>Table1[[#This Row],[Annual aircraft operations - 2015]]/Table1[[TOTAL OPERATING EXPENSES - 2015]:[TOTAL OPERATING EXPENSES - 2015]]</f>
        <v>4.5204078359413298E-3</v>
      </c>
      <c r="Q25" s="37">
        <f>Table1[[#This Row],[Total Non Aero Revenue]]/Table1[[TOTAL OPERATING EXPENSES - 2015]:[TOTAL OPERATING EXPENSES - 2015]]</f>
        <v>1.1285890057723864</v>
      </c>
      <c r="R25" s="37">
        <f>Table1[[#This Row],[Total Aero revenue - 2015]]/Table1[[TOTAL OPERATING EXPENSES - 2015]:[TOTAL OPERATING EXPENSES - 2015]]</f>
        <v>0.86936563553260848</v>
      </c>
    </row>
    <row r="26" spans="2:18" x14ac:dyDescent="0.2">
      <c r="B26" t="s">
        <v>101</v>
      </c>
      <c r="C26" s="22" t="s">
        <v>102</v>
      </c>
      <c r="D26" s="53">
        <v>483</v>
      </c>
      <c r="E26" s="54">
        <v>135915350</v>
      </c>
      <c r="F26" s="53">
        <v>13214469</v>
      </c>
      <c r="G26" s="54">
        <v>259168</v>
      </c>
      <c r="H26" s="54">
        <v>139593955</v>
      </c>
      <c r="I26" s="54">
        <v>74346608</v>
      </c>
      <c r="J26" s="35" t="str">
        <f>IF(Table1[[#This Row],[TOTAL OPERATING EXPENSES - 2015]]&gt;100000000,"yes","no")</f>
        <v>yes</v>
      </c>
      <c r="K26" s="63">
        <f>Table1[[#This Row],[Total enplanements - 2015]]/Table1[[Employees - 2015]:[Employees - 2015]]</f>
        <v>27359.149068322982</v>
      </c>
      <c r="L26" s="63">
        <f>Table1[[#This Row],[Annual aircraft operations - 2015]]/Table1[[Employees - 2015]:[Employees - 2015]]</f>
        <v>536.5797101449275</v>
      </c>
      <c r="M26" s="63">
        <f>Table1[[#This Row],[Total Non Aero Revenue]]/Table1[[Employees - 2015]:[Employees - 2015]]</f>
        <v>289014.39958592132</v>
      </c>
      <c r="N26" s="63">
        <f>Table1[[#This Row],[Total Aero revenue - 2015]]/Table1[[Employees - 2015]:[Employees - 2015]]</f>
        <v>153926.72463768115</v>
      </c>
      <c r="O26" s="38">
        <f>Table1[[#This Row],[Total enplanements - 2015]]/Table1[[TOTAL OPERATING EXPENSES - 2015]:[TOTAL OPERATING EXPENSES - 2015]]</f>
        <v>9.7225729102709879E-2</v>
      </c>
      <c r="P26" s="38">
        <f>Table1[[#This Row],[Annual aircraft operations - 2015]]/Table1[[TOTAL OPERATING EXPENSES - 2015]:[TOTAL OPERATING EXPENSES - 2015]]</f>
        <v>1.9068339227320534E-3</v>
      </c>
      <c r="Q26" s="37">
        <f>Table1[[#This Row],[Total Non Aero Revenue]]/Table1[[TOTAL OPERATING EXPENSES - 2015]:[TOTAL OPERATING EXPENSES - 2015]]</f>
        <v>1.0270654124055891</v>
      </c>
      <c r="R26" s="37">
        <f>Table1[[#This Row],[Total Aero revenue - 2015]]/Table1[[TOTAL OPERATING EXPENSES - 2015]:[TOTAL OPERATING EXPENSES - 2015]]</f>
        <v>0.5470067067479869</v>
      </c>
    </row>
    <row r="27" spans="2:18" x14ac:dyDescent="0.2">
      <c r="B27" t="s">
        <v>103</v>
      </c>
      <c r="C27" s="22" t="s">
        <v>104</v>
      </c>
      <c r="D27" s="53">
        <v>739</v>
      </c>
      <c r="E27" s="54">
        <v>293269231</v>
      </c>
      <c r="F27" s="53">
        <v>16066807</v>
      </c>
      <c r="G27" s="54">
        <v>363359</v>
      </c>
      <c r="H27" s="54">
        <v>275676746</v>
      </c>
      <c r="I27" s="54">
        <v>281218012</v>
      </c>
      <c r="J27" s="35" t="str">
        <f>IF(Table1[[#This Row],[TOTAL OPERATING EXPENSES - 2015]]&gt;100000000,"yes","no")</f>
        <v>yes</v>
      </c>
      <c r="K27" s="63">
        <f>Table1[[#This Row],[Total enplanements - 2015]]/Table1[[Employees - 2015]:[Employees - 2015]]</f>
        <v>21741.28146143437</v>
      </c>
      <c r="L27" s="63">
        <f>Table1[[#This Row],[Annual aircraft operations - 2015]]/Table1[[Employees - 2015]:[Employees - 2015]]</f>
        <v>491.69012178619755</v>
      </c>
      <c r="M27" s="63">
        <f>Table1[[#This Row],[Total Non Aero Revenue]]/Table1[[Employees - 2015]:[Employees - 2015]]</f>
        <v>373040.25169147499</v>
      </c>
      <c r="N27" s="63">
        <f>Table1[[#This Row],[Total Aero revenue - 2015]]/Table1[[Employees - 2015]:[Employees - 2015]]</f>
        <v>380538.58186738839</v>
      </c>
      <c r="O27" s="38">
        <f>Table1[[#This Row],[Total enplanements - 2015]]/Table1[[TOTAL OPERATING EXPENSES - 2015]:[TOTAL OPERATING EXPENSES - 2015]]</f>
        <v>5.4785177924103465E-2</v>
      </c>
      <c r="P27" s="38">
        <f>Table1[[#This Row],[Annual aircraft operations - 2015]]/Table1[[TOTAL OPERATING EXPENSES - 2015]:[TOTAL OPERATING EXPENSES - 2015]]</f>
        <v>1.2389946219758731E-3</v>
      </c>
      <c r="Q27" s="37">
        <f>Table1[[#This Row],[Total Non Aero Revenue]]/Table1[[TOTAL OPERATING EXPENSES - 2015]:[TOTAL OPERATING EXPENSES - 2015]]</f>
        <v>0.94001251021113774</v>
      </c>
      <c r="R27" s="37">
        <f>Table1[[#This Row],[Total Aero revenue - 2015]]/Table1[[TOTAL OPERATING EXPENSES - 2015]:[TOTAL OPERATING EXPENSES - 2015]]</f>
        <v>0.95890731885200731</v>
      </c>
    </row>
    <row r="28" spans="2:18" x14ac:dyDescent="0.2">
      <c r="B28" t="s">
        <v>105</v>
      </c>
      <c r="C28" s="22" t="s">
        <v>106</v>
      </c>
      <c r="D28" s="53">
        <v>255</v>
      </c>
      <c r="E28" s="54">
        <v>63651938</v>
      </c>
      <c r="F28" s="53">
        <v>3277356</v>
      </c>
      <c r="G28" s="54">
        <v>111591</v>
      </c>
      <c r="H28" s="54">
        <v>47285532</v>
      </c>
      <c r="I28" s="54">
        <v>32865081</v>
      </c>
      <c r="J28" s="35" t="str">
        <f>IF(Table1[[#This Row],[TOTAL OPERATING EXPENSES - 2015]]&gt;100000000,"yes","no")</f>
        <v>no</v>
      </c>
      <c r="K28" s="63">
        <f>Table1[[#This Row],[Total enplanements - 2015]]/Table1[[Employees - 2015]:[Employees - 2015]]</f>
        <v>12852.376470588235</v>
      </c>
      <c r="L28" s="63">
        <f>Table1[[#This Row],[Annual aircraft operations - 2015]]/Table1[[Employees - 2015]:[Employees - 2015]]</f>
        <v>437.61176470588236</v>
      </c>
      <c r="M28" s="63">
        <f>Table1[[#This Row],[Total Non Aero Revenue]]/Table1[[Employees - 2015]:[Employees - 2015]]</f>
        <v>185433.45882352942</v>
      </c>
      <c r="N28" s="63">
        <f>Table1[[#This Row],[Total Aero revenue - 2015]]/Table1[[Employees - 2015]:[Employees - 2015]]</f>
        <v>128882.6705882353</v>
      </c>
      <c r="O28" s="38">
        <f>Table1[[#This Row],[Total enplanements - 2015]]/Table1[[TOTAL OPERATING EXPENSES - 2015]:[TOTAL OPERATING EXPENSES - 2015]]</f>
        <v>5.1488707225222273E-2</v>
      </c>
      <c r="P28" s="38">
        <f>Table1[[#This Row],[Annual aircraft operations - 2015]]/Table1[[TOTAL OPERATING EXPENSES - 2015]:[TOTAL OPERATING EXPENSES - 2015]]</f>
        <v>1.7531437927310242E-3</v>
      </c>
      <c r="Q28" s="37">
        <f>Table1[[#This Row],[Total Non Aero Revenue]]/Table1[[TOTAL OPERATING EXPENSES - 2015]:[TOTAL OPERATING EXPENSES - 2015]]</f>
        <v>0.74287654839354611</v>
      </c>
      <c r="R28" s="37">
        <f>Table1[[#This Row],[Total Aero revenue - 2015]]/Table1[[TOTAL OPERATING EXPENSES - 2015]:[TOTAL OPERATING EXPENSES - 2015]]</f>
        <v>0.5163249074992815</v>
      </c>
    </row>
    <row r="29" spans="2:18" x14ac:dyDescent="0.2">
      <c r="B29" t="s">
        <v>107</v>
      </c>
      <c r="C29" s="22" t="s">
        <v>108</v>
      </c>
      <c r="D29" s="53">
        <v>951</v>
      </c>
      <c r="E29" s="54">
        <v>221038717</v>
      </c>
      <c r="F29" s="53">
        <v>20958555</v>
      </c>
      <c r="G29" s="54">
        <v>510134</v>
      </c>
      <c r="H29" s="54">
        <v>152012220</v>
      </c>
      <c r="I29" s="54">
        <v>231003316</v>
      </c>
      <c r="J29" s="35" t="str">
        <f>IF(Table1[[#This Row],[TOTAL OPERATING EXPENSES - 2015]]&gt;100000000,"yes","no")</f>
        <v>yes</v>
      </c>
      <c r="K29" s="63">
        <f>Table1[[#This Row],[Total enplanements - 2015]]/Table1[[Employees - 2015]:[Employees - 2015]]</f>
        <v>22038.438485804418</v>
      </c>
      <c r="L29" s="63">
        <f>Table1[[#This Row],[Annual aircraft operations - 2015]]/Table1[[Employees - 2015]:[Employees - 2015]]</f>
        <v>536.41850683491066</v>
      </c>
      <c r="M29" s="63">
        <f>Table1[[#This Row],[Total Non Aero Revenue]]/Table1[[Employees - 2015]:[Employees - 2015]]</f>
        <v>159844.60567823343</v>
      </c>
      <c r="N29" s="63">
        <f>Table1[[#This Row],[Total Aero revenue - 2015]]/Table1[[Employees - 2015]:[Employees - 2015]]</f>
        <v>242905.69505783386</v>
      </c>
      <c r="O29" s="38">
        <f>Table1[[#This Row],[Total enplanements - 2015]]/Table1[[TOTAL OPERATING EXPENSES - 2015]:[TOTAL OPERATING EXPENSES - 2015]]</f>
        <v>9.481847924406836E-2</v>
      </c>
      <c r="P29" s="38">
        <f>Table1[[#This Row],[Annual aircraft operations - 2015]]/Table1[[TOTAL OPERATING EXPENSES - 2015]:[TOTAL OPERATING EXPENSES - 2015]]</f>
        <v>2.3078943224231615E-3</v>
      </c>
      <c r="Q29" s="37">
        <f>Table1[[#This Row],[Total Non Aero Revenue]]/Table1[[TOTAL OPERATING EXPENSES - 2015]:[TOTAL OPERATING EXPENSES - 2015]]</f>
        <v>0.68771761826684874</v>
      </c>
      <c r="R29" s="37">
        <f>Table1[[#This Row],[Total Aero revenue - 2015]]/Table1[[TOTAL OPERATING EXPENSES - 2015]:[TOTAL OPERATING EXPENSES - 2015]]</f>
        <v>1.0450807855530577</v>
      </c>
    </row>
    <row r="30" spans="2:18" x14ac:dyDescent="0.2">
      <c r="B30" t="s">
        <v>109</v>
      </c>
      <c r="C30" s="22" t="s">
        <v>110</v>
      </c>
      <c r="D30" s="53">
        <v>100</v>
      </c>
      <c r="E30" s="54">
        <v>20760303</v>
      </c>
      <c r="F30" s="53">
        <v>1281238</v>
      </c>
      <c r="G30" s="54">
        <v>76256</v>
      </c>
      <c r="H30" s="54">
        <v>21618257</v>
      </c>
      <c r="I30" s="54">
        <v>16600949</v>
      </c>
      <c r="J30" s="35" t="str">
        <f>IF(Table1[[#This Row],[TOTAL OPERATING EXPENSES - 2015]]&gt;100000000,"yes","no")</f>
        <v>no</v>
      </c>
      <c r="K30" s="63">
        <f>Table1[[#This Row],[Total enplanements - 2015]]/Table1[[Employees - 2015]:[Employees - 2015]]</f>
        <v>12812.38</v>
      </c>
      <c r="L30" s="63">
        <f>Table1[[#This Row],[Annual aircraft operations - 2015]]/Table1[[Employees - 2015]:[Employees - 2015]]</f>
        <v>762.56</v>
      </c>
      <c r="M30" s="63">
        <f>Table1[[#This Row],[Total Non Aero Revenue]]/Table1[[Employees - 2015]:[Employees - 2015]]</f>
        <v>216182.57</v>
      </c>
      <c r="N30" s="63">
        <f>Table1[[#This Row],[Total Aero revenue - 2015]]/Table1[[Employees - 2015]:[Employees - 2015]]</f>
        <v>166009.49</v>
      </c>
      <c r="O30" s="38">
        <f>Table1[[#This Row],[Total enplanements - 2015]]/Table1[[TOTAL OPERATING EXPENSES - 2015]:[TOTAL OPERATING EXPENSES - 2015]]</f>
        <v>6.1715765901875323E-2</v>
      </c>
      <c r="P30" s="38">
        <f>Table1[[#This Row],[Annual aircraft operations - 2015]]/Table1[[TOTAL OPERATING EXPENSES - 2015]:[TOTAL OPERATING EXPENSES - 2015]]</f>
        <v>3.6731641151865656E-3</v>
      </c>
      <c r="Q30" s="37">
        <f>Table1[[#This Row],[Total Non Aero Revenue]]/Table1[[TOTAL OPERATING EXPENSES - 2015]:[TOTAL OPERATING EXPENSES - 2015]]</f>
        <v>1.0413266607910299</v>
      </c>
      <c r="R30" s="37">
        <f>Table1[[#This Row],[Total Aero revenue - 2015]]/Table1[[TOTAL OPERATING EXPENSES - 2015]:[TOTAL OPERATING EXPENSES - 2015]]</f>
        <v>0.79964868528171285</v>
      </c>
    </row>
    <row r="31" spans="2:18" x14ac:dyDescent="0.2">
      <c r="B31" t="s">
        <v>111</v>
      </c>
      <c r="C31" s="22" t="s">
        <v>112</v>
      </c>
      <c r="D31" s="53">
        <v>171</v>
      </c>
      <c r="E31" s="54">
        <v>40834773</v>
      </c>
      <c r="F31" s="53">
        <v>2379491</v>
      </c>
      <c r="G31" s="54">
        <v>116648</v>
      </c>
      <c r="H31" s="54">
        <v>31839557</v>
      </c>
      <c r="I31" s="54">
        <v>27080174</v>
      </c>
      <c r="J31" s="35" t="str">
        <f>IF(Table1[[#This Row],[TOTAL OPERATING EXPENSES - 2015]]&gt;100000000,"yes","no")</f>
        <v>no</v>
      </c>
      <c r="K31" s="63">
        <f>Table1[[#This Row],[Total enplanements - 2015]]/Table1[[Employees - 2015]:[Employees - 2015]]</f>
        <v>13915.152046783625</v>
      </c>
      <c r="L31" s="63">
        <f>Table1[[#This Row],[Annual aircraft operations - 2015]]/Table1[[Employees - 2015]:[Employees - 2015]]</f>
        <v>682.15204678362568</v>
      </c>
      <c r="M31" s="63">
        <f>Table1[[#This Row],[Total Non Aero Revenue]]/Table1[[Employees - 2015]:[Employees - 2015]]</f>
        <v>186196.23976608188</v>
      </c>
      <c r="N31" s="63">
        <f>Table1[[#This Row],[Total Aero revenue - 2015]]/Table1[[Employees - 2015]:[Employees - 2015]]</f>
        <v>158363.59064327486</v>
      </c>
      <c r="O31" s="38">
        <f>Table1[[#This Row],[Total enplanements - 2015]]/Table1[[TOTAL OPERATING EXPENSES - 2015]:[TOTAL OPERATING EXPENSES - 2015]]</f>
        <v>5.8271194503762759E-2</v>
      </c>
      <c r="P31" s="38">
        <f>Table1[[#This Row],[Annual aircraft operations - 2015]]/Table1[[TOTAL OPERATING EXPENSES - 2015]:[TOTAL OPERATING EXPENSES - 2015]]</f>
        <v>2.8565849992603118E-3</v>
      </c>
      <c r="Q31" s="37">
        <f>Table1[[#This Row],[Total Non Aero Revenue]]/Table1[[TOTAL OPERATING EXPENSES - 2015]:[TOTAL OPERATING EXPENSES - 2015]]</f>
        <v>0.77971676247594179</v>
      </c>
      <c r="R31" s="37">
        <f>Table1[[#This Row],[Total Aero revenue - 2015]]/Table1[[TOTAL OPERATING EXPENSES - 2015]:[TOTAL OPERATING EXPENSES - 2015]]</f>
        <v>0.66316455340648028</v>
      </c>
    </row>
    <row r="32" spans="2:18" x14ac:dyDescent="0.2">
      <c r="B32" s="32" t="s">
        <v>334</v>
      </c>
      <c r="C32" s="22" t="s">
        <v>114</v>
      </c>
      <c r="D32" s="53">
        <v>1143</v>
      </c>
      <c r="E32" s="54">
        <v>268478717</v>
      </c>
      <c r="F32" s="53">
        <v>49056316</v>
      </c>
      <c r="G32" s="54">
        <v>870381</v>
      </c>
      <c r="H32" s="54">
        <v>322766172</v>
      </c>
      <c r="I32" s="54">
        <v>160255811</v>
      </c>
      <c r="J32" s="35" t="str">
        <f>IF(Table1[[#This Row],[TOTAL OPERATING EXPENSES - 2015]]&gt;100000000,"yes","no")</f>
        <v>yes</v>
      </c>
      <c r="K32" s="63">
        <f>Table1[[#This Row],[Total enplanements - 2015]]/Table1[[Employees - 2015]:[Employees - 2015]]</f>
        <v>42918.911636045494</v>
      </c>
      <c r="L32" s="63">
        <f>Table1[[#This Row],[Annual aircraft operations - 2015]]/Table1[[Employees - 2015]:[Employees - 2015]]</f>
        <v>761.48818897637796</v>
      </c>
      <c r="M32" s="63">
        <f>Table1[[#This Row],[Total Non Aero Revenue]]/Table1[[Employees - 2015]:[Employees - 2015]]</f>
        <v>282385.10236220475</v>
      </c>
      <c r="N32" s="63">
        <f>Table1[[#This Row],[Total Aero revenue - 2015]]/Table1[[Employees - 2015]:[Employees - 2015]]</f>
        <v>140206.30883639544</v>
      </c>
      <c r="O32" s="38">
        <f>Table1[[#This Row],[Total enplanements - 2015]]/Table1[[TOTAL OPERATING EXPENSES - 2015]:[TOTAL OPERATING EXPENSES - 2015]]</f>
        <v>0.18271957102655553</v>
      </c>
      <c r="P32" s="38">
        <f>Table1[[#This Row],[Annual aircraft operations - 2015]]/Table1[[TOTAL OPERATING EXPENSES - 2015]:[TOTAL OPERATING EXPENSES - 2015]]</f>
        <v>3.2418994314547473E-3</v>
      </c>
      <c r="Q32" s="37">
        <f>Table1[[#This Row],[Total Non Aero Revenue]]/Table1[[TOTAL OPERATING EXPENSES - 2015]:[TOTAL OPERATING EXPENSES - 2015]]</f>
        <v>1.2022039422961039</v>
      </c>
      <c r="R32" s="37">
        <f>Table1[[#This Row],[Total Aero revenue - 2015]]/Table1[[TOTAL OPERATING EXPENSES - 2015]:[TOTAL OPERATING EXPENSES - 2015]]</f>
        <v>0.59690322119648687</v>
      </c>
    </row>
    <row r="33" spans="2:18" x14ac:dyDescent="0.2">
      <c r="B33" t="s">
        <v>115</v>
      </c>
      <c r="C33" s="22" t="s">
        <v>116</v>
      </c>
      <c r="D33" s="53">
        <v>534</v>
      </c>
      <c r="E33" s="54">
        <v>149343367</v>
      </c>
      <c r="F33" s="53">
        <v>9707527</v>
      </c>
      <c r="G33" s="54">
        <v>315474</v>
      </c>
      <c r="H33" s="54">
        <v>94944300</v>
      </c>
      <c r="I33" s="54">
        <v>118825467</v>
      </c>
      <c r="J33" s="35" t="str">
        <f>IF(Table1[[#This Row],[TOTAL OPERATING EXPENSES - 2015]]&gt;100000000,"yes","no")</f>
        <v>yes</v>
      </c>
      <c r="K33" s="63">
        <f>Table1[[#This Row],[Total enplanements - 2015]]/Table1[[Employees - 2015]:[Employees - 2015]]</f>
        <v>18178.889513108614</v>
      </c>
      <c r="L33" s="63">
        <f>Table1[[#This Row],[Annual aircraft operations - 2015]]/Table1[[Employees - 2015]:[Employees - 2015]]</f>
        <v>590.77528089887642</v>
      </c>
      <c r="M33" s="63">
        <f>Table1[[#This Row],[Total Non Aero Revenue]]/Table1[[Employees - 2015]:[Employees - 2015]]</f>
        <v>177798.31460674157</v>
      </c>
      <c r="N33" s="63">
        <f>Table1[[#This Row],[Total Aero revenue - 2015]]/Table1[[Employees - 2015]:[Employees - 2015]]</f>
        <v>222519.60112359549</v>
      </c>
      <c r="O33" s="38">
        <f>Table1[[#This Row],[Total enplanements - 2015]]/Table1[[TOTAL OPERATING EXPENSES - 2015]:[TOTAL OPERATING EXPENSES - 2015]]</f>
        <v>6.5001393734480356E-2</v>
      </c>
      <c r="P33" s="38">
        <f>Table1[[#This Row],[Annual aircraft operations - 2015]]/Table1[[TOTAL OPERATING EXPENSES - 2015]:[TOTAL OPERATING EXPENSES - 2015]]</f>
        <v>2.1124071750705875E-3</v>
      </c>
      <c r="Q33" s="37">
        <f>Table1[[#This Row],[Total Non Aero Revenue]]/Table1[[TOTAL OPERATING EXPENSES - 2015]:[TOTAL OPERATING EXPENSES - 2015]]</f>
        <v>0.63574500767750874</v>
      </c>
      <c r="R33" s="37">
        <f>Table1[[#This Row],[Total Aero revenue - 2015]]/Table1[[TOTAL OPERATING EXPENSES - 2015]:[TOTAL OPERATING EXPENSES - 2015]]</f>
        <v>0.79565279253413379</v>
      </c>
    </row>
    <row r="34" spans="2:18" x14ac:dyDescent="0.2">
      <c r="B34" t="s">
        <v>117</v>
      </c>
      <c r="C34" s="22" t="s">
        <v>118</v>
      </c>
      <c r="D34" s="53">
        <v>111</v>
      </c>
      <c r="E34" s="54">
        <v>16498122</v>
      </c>
      <c r="F34" s="53">
        <v>534416</v>
      </c>
      <c r="G34" s="54">
        <v>60336</v>
      </c>
      <c r="H34" s="54">
        <v>16740892</v>
      </c>
      <c r="I34" s="54">
        <v>12295704</v>
      </c>
      <c r="J34" s="35" t="str">
        <f>IF(Table1[[#This Row],[TOTAL OPERATING EXPENSES - 2015]]&gt;100000000,"yes","no")</f>
        <v>no</v>
      </c>
      <c r="K34" s="63">
        <f>Table1[[#This Row],[Total enplanements - 2015]]/Table1[[Employees - 2015]:[Employees - 2015]]</f>
        <v>4814.5585585585586</v>
      </c>
      <c r="L34" s="63">
        <f>Table1[[#This Row],[Annual aircraft operations - 2015]]/Table1[[Employees - 2015]:[Employees - 2015]]</f>
        <v>543.56756756756761</v>
      </c>
      <c r="M34" s="63">
        <f>Table1[[#This Row],[Total Non Aero Revenue]]/Table1[[Employees - 2015]:[Employees - 2015]]</f>
        <v>150818.84684684683</v>
      </c>
      <c r="N34" s="63">
        <f>Table1[[#This Row],[Total Aero revenue - 2015]]/Table1[[Employees - 2015]:[Employees - 2015]]</f>
        <v>110772.10810810811</v>
      </c>
      <c r="O34" s="38">
        <f>Table1[[#This Row],[Total enplanements - 2015]]/Table1[[TOTAL OPERATING EXPENSES - 2015]:[TOTAL OPERATING EXPENSES - 2015]]</f>
        <v>3.239253534432586E-2</v>
      </c>
      <c r="P34" s="38">
        <f>Table1[[#This Row],[Annual aircraft operations - 2015]]/Table1[[TOTAL OPERATING EXPENSES - 2015]:[TOTAL OPERATING EXPENSES - 2015]]</f>
        <v>3.6571435221536123E-3</v>
      </c>
      <c r="Q34" s="37">
        <f>Table1[[#This Row],[Total Non Aero Revenue]]/Table1[[TOTAL OPERATING EXPENSES - 2015]:[TOTAL OPERATING EXPENSES - 2015]]</f>
        <v>1.0147150081688086</v>
      </c>
      <c r="R34" s="37">
        <f>Table1[[#This Row],[Total Aero revenue - 2015]]/Table1[[TOTAL OPERATING EXPENSES - 2015]:[TOTAL OPERATING EXPENSES - 2015]]</f>
        <v>0.74527900811983328</v>
      </c>
    </row>
    <row r="35" spans="2:18" x14ac:dyDescent="0.2">
      <c r="B35" t="s">
        <v>119</v>
      </c>
      <c r="C35" s="22" t="s">
        <v>120</v>
      </c>
      <c r="D35" s="53">
        <v>423</v>
      </c>
      <c r="E35" s="54">
        <v>62379812</v>
      </c>
      <c r="F35" s="53">
        <v>4008256</v>
      </c>
      <c r="G35" s="54">
        <v>152937</v>
      </c>
      <c r="H35" s="54">
        <v>96173092</v>
      </c>
      <c r="I35" s="54">
        <v>51783203</v>
      </c>
      <c r="J35" s="35" t="str">
        <f>IF(Table1[[#This Row],[TOTAL OPERATING EXPENSES - 2015]]&gt;100000000,"yes","no")</f>
        <v>no</v>
      </c>
      <c r="K35" s="63">
        <f>Table1[[#This Row],[Total enplanements - 2015]]/Table1[[Employees - 2015]:[Employees - 2015]]</f>
        <v>9475.7825059101651</v>
      </c>
      <c r="L35" s="63">
        <f>Table1[[#This Row],[Annual aircraft operations - 2015]]/Table1[[Employees - 2015]:[Employees - 2015]]</f>
        <v>361.55319148936172</v>
      </c>
      <c r="M35" s="63">
        <f>Table1[[#This Row],[Total Non Aero Revenue]]/Table1[[Employees - 2015]:[Employees - 2015]]</f>
        <v>227359.55555555556</v>
      </c>
      <c r="N35" s="63">
        <f>Table1[[#This Row],[Total Aero revenue - 2015]]/Table1[[Employees - 2015]:[Employees - 2015]]</f>
        <v>122418.9196217494</v>
      </c>
      <c r="O35" s="38">
        <f>Table1[[#This Row],[Total enplanements - 2015]]/Table1[[TOTAL OPERATING EXPENSES - 2015]:[TOTAL OPERATING EXPENSES - 2015]]</f>
        <v>6.4255660148510862E-2</v>
      </c>
      <c r="P35" s="38">
        <f>Table1[[#This Row],[Annual aircraft operations - 2015]]/Table1[[TOTAL OPERATING EXPENSES - 2015]:[TOTAL OPERATING EXPENSES - 2015]]</f>
        <v>2.4517066515044963E-3</v>
      </c>
      <c r="Q35" s="37">
        <f>Table1[[#This Row],[Total Non Aero Revenue]]/Table1[[TOTAL OPERATING EXPENSES - 2015]:[TOTAL OPERATING EXPENSES - 2015]]</f>
        <v>1.5417342392760016</v>
      </c>
      <c r="R35" s="37">
        <f>Table1[[#This Row],[Total Aero revenue - 2015]]/Table1[[TOTAL OPERATING EXPENSES - 2015]:[TOTAL OPERATING EXPENSES - 2015]]</f>
        <v>0.8301275899965842</v>
      </c>
    </row>
    <row r="36" spans="2:18" x14ac:dyDescent="0.2">
      <c r="B36" t="s">
        <v>121</v>
      </c>
      <c r="C36" s="22" t="s">
        <v>122</v>
      </c>
      <c r="D36" s="53">
        <v>106</v>
      </c>
      <c r="E36" s="54">
        <v>12694210</v>
      </c>
      <c r="F36" s="53">
        <v>497587</v>
      </c>
      <c r="G36" s="54">
        <v>83297</v>
      </c>
      <c r="H36" s="54">
        <v>10574373</v>
      </c>
      <c r="I36" s="54">
        <v>6573354</v>
      </c>
      <c r="J36" s="35" t="str">
        <f>IF(Table1[[#This Row],[TOTAL OPERATING EXPENSES - 2015]]&gt;100000000,"yes","no")</f>
        <v>no</v>
      </c>
      <c r="K36" s="63">
        <f>Table1[[#This Row],[Total enplanements - 2015]]/Table1[[Employees - 2015]:[Employees - 2015]]</f>
        <v>4694.2169811320755</v>
      </c>
      <c r="L36" s="63">
        <f>Table1[[#This Row],[Annual aircraft operations - 2015]]/Table1[[Employees - 2015]:[Employees - 2015]]</f>
        <v>785.82075471698113</v>
      </c>
      <c r="M36" s="63">
        <f>Table1[[#This Row],[Total Non Aero Revenue]]/Table1[[Employees - 2015]:[Employees - 2015]]</f>
        <v>99758.235849056597</v>
      </c>
      <c r="N36" s="63">
        <f>Table1[[#This Row],[Total Aero revenue - 2015]]/Table1[[Employees - 2015]:[Employees - 2015]]</f>
        <v>62012.773584905663</v>
      </c>
      <c r="O36" s="38">
        <f>Table1[[#This Row],[Total enplanements - 2015]]/Table1[[TOTAL OPERATING EXPENSES - 2015]:[TOTAL OPERATING EXPENSES - 2015]]</f>
        <v>3.919794930129563E-2</v>
      </c>
      <c r="P36" s="38">
        <f>Table1[[#This Row],[Annual aircraft operations - 2015]]/Table1[[TOTAL OPERATING EXPENSES - 2015]:[TOTAL OPERATING EXPENSES - 2015]]</f>
        <v>6.5618104631954251E-3</v>
      </c>
      <c r="Q36" s="37">
        <f>Table1[[#This Row],[Total Non Aero Revenue]]/Table1[[TOTAL OPERATING EXPENSES - 2015]:[TOTAL OPERATING EXPENSES - 2015]]</f>
        <v>0.83300756801722986</v>
      </c>
      <c r="R36" s="37">
        <f>Table1[[#This Row],[Total Aero revenue - 2015]]/Table1[[TOTAL OPERATING EXPENSES - 2015]:[TOTAL OPERATING EXPENSES - 2015]]</f>
        <v>0.51782300749711874</v>
      </c>
    </row>
    <row r="37" spans="2:18" x14ac:dyDescent="0.2">
      <c r="B37" t="s">
        <v>123</v>
      </c>
      <c r="C37" s="22" t="s">
        <v>124</v>
      </c>
      <c r="D37" s="53">
        <v>263</v>
      </c>
      <c r="E37" s="54">
        <v>47972407</v>
      </c>
      <c r="F37" s="53">
        <v>2722032</v>
      </c>
      <c r="G37" s="54">
        <v>93502</v>
      </c>
      <c r="H37" s="54">
        <v>51538068</v>
      </c>
      <c r="I37" s="54">
        <v>23468514</v>
      </c>
      <c r="J37" s="35" t="str">
        <f>IF(Table1[[#This Row],[TOTAL OPERATING EXPENSES - 2015]]&gt;100000000,"yes","no")</f>
        <v>no</v>
      </c>
      <c r="K37" s="63">
        <f>Table1[[#This Row],[Total enplanements - 2015]]/Table1[[Employees - 2015]:[Employees - 2015]]</f>
        <v>10349.931558935361</v>
      </c>
      <c r="L37" s="63">
        <f>Table1[[#This Row],[Annual aircraft operations - 2015]]/Table1[[Employees - 2015]:[Employees - 2015]]</f>
        <v>355.5209125475285</v>
      </c>
      <c r="M37" s="63">
        <f>Table1[[#This Row],[Total Non Aero Revenue]]/Table1[[Employees - 2015]:[Employees - 2015]]</f>
        <v>195962.23574144486</v>
      </c>
      <c r="N37" s="63">
        <f>Table1[[#This Row],[Total Aero revenue - 2015]]/Table1[[Employees - 2015]:[Employees - 2015]]</f>
        <v>89233.893536121672</v>
      </c>
      <c r="O37" s="38">
        <f>Table1[[#This Row],[Total enplanements - 2015]]/Table1[[TOTAL OPERATING EXPENSES - 2015]:[TOTAL OPERATING EXPENSES - 2015]]</f>
        <v>5.674161815562017E-2</v>
      </c>
      <c r="P37" s="38">
        <f>Table1[[#This Row],[Annual aircraft operations - 2015]]/Table1[[TOTAL OPERATING EXPENSES - 2015]:[TOTAL OPERATING EXPENSES - 2015]]</f>
        <v>1.949078769385076E-3</v>
      </c>
      <c r="Q37" s="37">
        <f>Table1[[#This Row],[Total Non Aero Revenue]]/Table1[[TOTAL OPERATING EXPENSES - 2015]:[TOTAL OPERATING EXPENSES - 2015]]</f>
        <v>1.0743273315429014</v>
      </c>
      <c r="R37" s="37">
        <f>Table1[[#This Row],[Total Aero revenue - 2015]]/Table1[[TOTAL OPERATING EXPENSES - 2015]:[TOTAL OPERATING EXPENSES - 2015]]</f>
        <v>0.48920859860127508</v>
      </c>
    </row>
    <row r="38" spans="2:18" x14ac:dyDescent="0.2">
      <c r="B38" t="s">
        <v>125</v>
      </c>
      <c r="C38" s="22" t="s">
        <v>126</v>
      </c>
      <c r="D38" s="53">
        <v>427</v>
      </c>
      <c r="E38" s="54">
        <v>751249580</v>
      </c>
      <c r="F38" s="53">
        <v>28314048</v>
      </c>
      <c r="G38" s="54">
        <v>438897</v>
      </c>
      <c r="H38" s="54">
        <v>314403249</v>
      </c>
      <c r="I38" s="54">
        <v>889061242</v>
      </c>
      <c r="J38" s="35" t="str">
        <f>IF(Table1[[#This Row],[TOTAL OPERATING EXPENSES - 2015]]&gt;100000000,"yes","no")</f>
        <v>yes</v>
      </c>
      <c r="K38" s="63">
        <f>Table1[[#This Row],[Total enplanements - 2015]]/Table1[[Employees - 2015]:[Employees - 2015]]</f>
        <v>66309.24590163934</v>
      </c>
      <c r="L38" s="63">
        <f>Table1[[#This Row],[Annual aircraft operations - 2015]]/Table1[[Employees - 2015]:[Employees - 2015]]</f>
        <v>1027.8618266978922</v>
      </c>
      <c r="M38" s="63">
        <f>Table1[[#This Row],[Total Non Aero Revenue]]/Table1[[Employees - 2015]:[Employees - 2015]]</f>
        <v>736307.37470725994</v>
      </c>
      <c r="N38" s="63">
        <f>Table1[[#This Row],[Total Aero revenue - 2015]]/Table1[[Employees - 2015]:[Employees - 2015]]</f>
        <v>2082110.6370023419</v>
      </c>
      <c r="O38" s="38">
        <f>Table1[[#This Row],[Total enplanements - 2015]]/Table1[[TOTAL OPERATING EXPENSES - 2015]:[TOTAL OPERATING EXPENSES - 2015]]</f>
        <v>3.7689269656563405E-2</v>
      </c>
      <c r="P38" s="38">
        <f>Table1[[#This Row],[Annual aircraft operations - 2015]]/Table1[[TOTAL OPERATING EXPENSES - 2015]:[TOTAL OPERATING EXPENSES - 2015]]</f>
        <v>5.8422262279334653E-4</v>
      </c>
      <c r="Q38" s="37">
        <f>Table1[[#This Row],[Total Non Aero Revenue]]/Table1[[TOTAL OPERATING EXPENSES - 2015]:[TOTAL OPERATING EXPENSES - 2015]]</f>
        <v>0.41850705460627347</v>
      </c>
      <c r="R38" s="37">
        <f>Table1[[#This Row],[Total Aero revenue - 2015]]/Table1[[TOTAL OPERATING EXPENSES - 2015]:[TOTAL OPERATING EXPENSES - 2015]]</f>
        <v>1.1834432466504674</v>
      </c>
    </row>
    <row r="39" spans="2:18" x14ac:dyDescent="0.2">
      <c r="B39" t="s">
        <v>127</v>
      </c>
      <c r="C39" s="22" t="s">
        <v>128</v>
      </c>
      <c r="D39" s="53">
        <v>174</v>
      </c>
      <c r="E39" s="54">
        <v>82747035</v>
      </c>
      <c r="F39" s="53">
        <v>4792579</v>
      </c>
      <c r="G39" s="54">
        <v>264726</v>
      </c>
      <c r="H39" s="54">
        <v>69845790</v>
      </c>
      <c r="I39" s="54">
        <v>52602289</v>
      </c>
      <c r="J39" s="35" t="str">
        <f>IF(Table1[[#This Row],[TOTAL OPERATING EXPENSES - 2015]]&gt;100000000,"yes","no")</f>
        <v>no</v>
      </c>
      <c r="K39" s="63">
        <f>Table1[[#This Row],[Total enplanements - 2015]]/Table1[[Employees - 2015]:[Employees - 2015]]</f>
        <v>27543.557471264368</v>
      </c>
      <c r="L39" s="63">
        <f>Table1[[#This Row],[Annual aircraft operations - 2015]]/Table1[[Employees - 2015]:[Employees - 2015]]</f>
        <v>1521.4137931034484</v>
      </c>
      <c r="M39" s="63">
        <f>Table1[[#This Row],[Total Non Aero Revenue]]/Table1[[Employees - 2015]:[Employees - 2015]]</f>
        <v>401412.58620689658</v>
      </c>
      <c r="N39" s="63">
        <f>Table1[[#This Row],[Total Aero revenue - 2015]]/Table1[[Employees - 2015]:[Employees - 2015]]</f>
        <v>302312.00574712642</v>
      </c>
      <c r="O39" s="38">
        <f>Table1[[#This Row],[Total enplanements - 2015]]/Table1[[TOTAL OPERATING EXPENSES - 2015]:[TOTAL OPERATING EXPENSES - 2015]]</f>
        <v>5.7918437802635468E-2</v>
      </c>
      <c r="P39" s="38">
        <f>Table1[[#This Row],[Annual aircraft operations - 2015]]/Table1[[TOTAL OPERATING EXPENSES - 2015]:[TOTAL OPERATING EXPENSES - 2015]]</f>
        <v>3.1992203708567928E-3</v>
      </c>
      <c r="Q39" s="37">
        <f>Table1[[#This Row],[Total Non Aero Revenue]]/Table1[[TOTAL OPERATING EXPENSES - 2015]:[TOTAL OPERATING EXPENSES - 2015]]</f>
        <v>0.84408812956258794</v>
      </c>
      <c r="R39" s="37">
        <f>Table1[[#This Row],[Total Aero revenue - 2015]]/Table1[[TOTAL OPERATING EXPENSES - 2015]:[TOTAL OPERATING EXPENSES - 2015]]</f>
        <v>0.63569998610826361</v>
      </c>
    </row>
    <row r="40" spans="2:18" x14ac:dyDescent="0.2">
      <c r="B40" t="s">
        <v>129</v>
      </c>
      <c r="C40" s="22" t="s">
        <v>130</v>
      </c>
      <c r="D40" s="53">
        <v>129</v>
      </c>
      <c r="E40" s="54">
        <v>27928799</v>
      </c>
      <c r="F40" s="53">
        <v>3246892</v>
      </c>
      <c r="G40" s="54">
        <v>132496</v>
      </c>
      <c r="H40" s="54">
        <v>35969756</v>
      </c>
      <c r="I40" s="54">
        <v>25187466</v>
      </c>
      <c r="J40" s="35" t="str">
        <f>IF(Table1[[#This Row],[TOTAL OPERATING EXPENSES - 2015]]&gt;100000000,"yes","no")</f>
        <v>no</v>
      </c>
      <c r="K40" s="63">
        <f>Table1[[#This Row],[Total enplanements - 2015]]/Table1[[Employees - 2015]:[Employees - 2015]]</f>
        <v>25169.705426356588</v>
      </c>
      <c r="L40" s="63">
        <f>Table1[[#This Row],[Annual aircraft operations - 2015]]/Table1[[Employees - 2015]:[Employees - 2015]]</f>
        <v>1027.1007751937984</v>
      </c>
      <c r="M40" s="63">
        <f>Table1[[#This Row],[Total Non Aero Revenue]]/Table1[[Employees - 2015]:[Employees - 2015]]</f>
        <v>278835.31782945734</v>
      </c>
      <c r="N40" s="63">
        <f>Table1[[#This Row],[Total Aero revenue - 2015]]/Table1[[Employees - 2015]:[Employees - 2015]]</f>
        <v>195251.67441860464</v>
      </c>
      <c r="O40" s="38">
        <f>Table1[[#This Row],[Total enplanements - 2015]]/Table1[[TOTAL OPERATING EXPENSES - 2015]:[TOTAL OPERATING EXPENSES - 2015]]</f>
        <v>0.11625605526395889</v>
      </c>
      <c r="P40" s="38">
        <f>Table1[[#This Row],[Annual aircraft operations - 2015]]/Table1[[TOTAL OPERATING EXPENSES - 2015]:[TOTAL OPERATING EXPENSES - 2015]]</f>
        <v>4.7440636455581206E-3</v>
      </c>
      <c r="Q40" s="37">
        <f>Table1[[#This Row],[Total Non Aero Revenue]]/Table1[[TOTAL OPERATING EXPENSES - 2015]:[TOTAL OPERATING EXPENSES - 2015]]</f>
        <v>1.2879091578553019</v>
      </c>
      <c r="R40" s="37">
        <f>Table1[[#This Row],[Total Aero revenue - 2015]]/Table1[[TOTAL OPERATING EXPENSES - 2015]:[TOTAL OPERATING EXPENSES - 2015]]</f>
        <v>0.90184565401469641</v>
      </c>
    </row>
    <row r="41" spans="2:18" x14ac:dyDescent="0.2">
      <c r="B41" t="s">
        <v>131</v>
      </c>
      <c r="C41" s="22" t="s">
        <v>132</v>
      </c>
      <c r="D41" s="53">
        <v>433</v>
      </c>
      <c r="E41" s="54">
        <v>83698406</v>
      </c>
      <c r="F41" s="53">
        <v>5137881</v>
      </c>
      <c r="G41" s="54">
        <v>129824</v>
      </c>
      <c r="H41" s="54">
        <v>80083910</v>
      </c>
      <c r="I41" s="54">
        <v>45343903</v>
      </c>
      <c r="J41" s="35" t="str">
        <f>IF(Table1[[#This Row],[TOTAL OPERATING EXPENSES - 2015]]&gt;100000000,"yes","no")</f>
        <v>no</v>
      </c>
      <c r="K41" s="63">
        <f>Table1[[#This Row],[Total enplanements - 2015]]/Table1[[Employees - 2015]:[Employees - 2015]]</f>
        <v>11865.77598152425</v>
      </c>
      <c r="L41" s="63">
        <f>Table1[[#This Row],[Annual aircraft operations - 2015]]/Table1[[Employees - 2015]:[Employees - 2015]]</f>
        <v>299.82448036951502</v>
      </c>
      <c r="M41" s="63">
        <f>Table1[[#This Row],[Total Non Aero Revenue]]/Table1[[Employees - 2015]:[Employees - 2015]]</f>
        <v>184951.29330254041</v>
      </c>
      <c r="N41" s="63">
        <f>Table1[[#This Row],[Total Aero revenue - 2015]]/Table1[[Employees - 2015]:[Employees - 2015]]</f>
        <v>104720.33025404158</v>
      </c>
      <c r="O41" s="38">
        <f>Table1[[#This Row],[Total enplanements - 2015]]/Table1[[TOTAL OPERATING EXPENSES - 2015]:[TOTAL OPERATING EXPENSES - 2015]]</f>
        <v>6.1385649327658644E-2</v>
      </c>
      <c r="P41" s="38">
        <f>Table1[[#This Row],[Annual aircraft operations - 2015]]/Table1[[TOTAL OPERATING EXPENSES - 2015]:[TOTAL OPERATING EXPENSES - 2015]]</f>
        <v>1.5510928607170846E-3</v>
      </c>
      <c r="Q41" s="37">
        <f>Table1[[#This Row],[Total Non Aero Revenue]]/Table1[[TOTAL OPERATING EXPENSES - 2015]:[TOTAL OPERATING EXPENSES - 2015]]</f>
        <v>0.95681523492812992</v>
      </c>
      <c r="R41" s="37">
        <f>Table1[[#This Row],[Total Aero revenue - 2015]]/Table1[[TOTAL OPERATING EXPENSES - 2015]:[TOTAL OPERATING EXPENSES - 2015]]</f>
        <v>0.54175348333395978</v>
      </c>
    </row>
    <row r="42" spans="2:18" x14ac:dyDescent="0.2">
      <c r="B42" t="s">
        <v>133</v>
      </c>
      <c r="C42" s="22" t="s">
        <v>134</v>
      </c>
      <c r="D42" s="53">
        <v>290</v>
      </c>
      <c r="E42" s="54">
        <v>282788539</v>
      </c>
      <c r="F42" s="53">
        <v>14237784</v>
      </c>
      <c r="G42" s="54">
        <v>360274</v>
      </c>
      <c r="H42" s="54">
        <v>97135155</v>
      </c>
      <c r="I42" s="54">
        <v>279675769</v>
      </c>
      <c r="J42" s="35" t="str">
        <f>IF(Table1[[#This Row],[TOTAL OPERATING EXPENSES - 2015]]&gt;100000000,"yes","no")</f>
        <v>yes</v>
      </c>
      <c r="K42" s="63">
        <f>Table1[[#This Row],[Total enplanements - 2015]]/Table1[[Employees - 2015]:[Employees - 2015]]</f>
        <v>49095.806896551723</v>
      </c>
      <c r="L42" s="63">
        <f>Table1[[#This Row],[Annual aircraft operations - 2015]]/Table1[[Employees - 2015]:[Employees - 2015]]</f>
        <v>1242.3241379310346</v>
      </c>
      <c r="M42" s="63">
        <f>Table1[[#This Row],[Total Non Aero Revenue]]/Table1[[Employees - 2015]:[Employees - 2015]]</f>
        <v>334948.81034482759</v>
      </c>
      <c r="N42" s="63">
        <f>Table1[[#This Row],[Total Aero revenue - 2015]]/Table1[[Employees - 2015]:[Employees - 2015]]</f>
        <v>964399.20344827592</v>
      </c>
      <c r="O42" s="38">
        <f>Table1[[#This Row],[Total enplanements - 2015]]/Table1[[TOTAL OPERATING EXPENSES - 2015]:[TOTAL OPERATING EXPENSES - 2015]]</f>
        <v>5.0347811302211228E-2</v>
      </c>
      <c r="P42" s="38">
        <f>Table1[[#This Row],[Annual aircraft operations - 2015]]/Table1[[TOTAL OPERATING EXPENSES - 2015]:[TOTAL OPERATING EXPENSES - 2015]]</f>
        <v>1.2740049553422673E-3</v>
      </c>
      <c r="Q42" s="37">
        <f>Table1[[#This Row],[Total Non Aero Revenue]]/Table1[[TOTAL OPERATING EXPENSES - 2015]:[TOTAL OPERATING EXPENSES - 2015]]</f>
        <v>0.34349042342200437</v>
      </c>
      <c r="R42" s="37">
        <f>Table1[[#This Row],[Total Aero revenue - 2015]]/Table1[[TOTAL OPERATING EXPENSES - 2015]:[TOTAL OPERATING EXPENSES - 2015]]</f>
        <v>0.98899258785024524</v>
      </c>
    </row>
    <row r="43" spans="2:18" x14ac:dyDescent="0.2">
      <c r="B43" t="s">
        <v>135</v>
      </c>
      <c r="C43" s="22" t="s">
        <v>136</v>
      </c>
      <c r="D43" s="53">
        <v>498</v>
      </c>
      <c r="E43" s="54">
        <v>74041272</v>
      </c>
      <c r="F43" s="53">
        <v>6247994</v>
      </c>
      <c r="G43" s="54">
        <v>185474</v>
      </c>
      <c r="H43" s="54">
        <v>45960857</v>
      </c>
      <c r="I43" s="54">
        <v>94287072</v>
      </c>
      <c r="J43" s="35" t="str">
        <f>IF(Table1[[#This Row],[TOTAL OPERATING EXPENSES - 2015]]&gt;100000000,"yes","no")</f>
        <v>no</v>
      </c>
      <c r="K43" s="63">
        <f>Table1[[#This Row],[Total enplanements - 2015]]/Table1[[Employees - 2015]:[Employees - 2015]]</f>
        <v>12546.172690763053</v>
      </c>
      <c r="L43" s="63">
        <f>Table1[[#This Row],[Annual aircraft operations - 2015]]/Table1[[Employees - 2015]:[Employees - 2015]]</f>
        <v>372.43775100401604</v>
      </c>
      <c r="M43" s="63">
        <f>Table1[[#This Row],[Total Non Aero Revenue]]/Table1[[Employees - 2015]:[Employees - 2015]]</f>
        <v>92290.877510040154</v>
      </c>
      <c r="N43" s="63">
        <f>Table1[[#This Row],[Total Aero revenue - 2015]]/Table1[[Employees - 2015]:[Employees - 2015]]</f>
        <v>189331.46987951806</v>
      </c>
      <c r="O43" s="38">
        <f>Table1[[#This Row],[Total enplanements - 2015]]/Table1[[TOTAL OPERATING EXPENSES - 2015]:[TOTAL OPERATING EXPENSES - 2015]]</f>
        <v>8.4385287167946008E-2</v>
      </c>
      <c r="P43" s="38">
        <f>Table1[[#This Row],[Annual aircraft operations - 2015]]/Table1[[TOTAL OPERATING EXPENSES - 2015]:[TOTAL OPERATING EXPENSES - 2015]]</f>
        <v>2.5050082878100744E-3</v>
      </c>
      <c r="Q43" s="37">
        <f>Table1[[#This Row],[Total Non Aero Revenue]]/Table1[[TOTAL OPERATING EXPENSES - 2015]:[TOTAL OPERATING EXPENSES - 2015]]</f>
        <v>0.62074645341047086</v>
      </c>
      <c r="R43" s="37">
        <f>Table1[[#This Row],[Total Aero revenue - 2015]]/Table1[[TOTAL OPERATING EXPENSES - 2015]:[TOTAL OPERATING EXPENSES - 2015]]</f>
        <v>1.2734393866166966</v>
      </c>
    </row>
    <row r="44" spans="2:18" x14ac:dyDescent="0.2">
      <c r="B44" t="s">
        <v>137</v>
      </c>
      <c r="C44" s="22" t="s">
        <v>138</v>
      </c>
      <c r="D44" s="53">
        <v>160</v>
      </c>
      <c r="E44" s="54">
        <v>12644285</v>
      </c>
      <c r="F44" s="53">
        <v>338596</v>
      </c>
      <c r="G44" s="54">
        <v>88084</v>
      </c>
      <c r="H44" s="54">
        <v>8036849</v>
      </c>
      <c r="I44" s="54">
        <v>11085895</v>
      </c>
      <c r="J44" s="35" t="str">
        <f>IF(Table1[[#This Row],[TOTAL OPERATING EXPENSES - 2015]]&gt;100000000,"yes","no")</f>
        <v>no</v>
      </c>
      <c r="K44" s="63">
        <f>Table1[[#This Row],[Total enplanements - 2015]]/Table1[[Employees - 2015]:[Employees - 2015]]</f>
        <v>2116.2249999999999</v>
      </c>
      <c r="L44" s="63">
        <f>Table1[[#This Row],[Annual aircraft operations - 2015]]/Table1[[Employees - 2015]:[Employees - 2015]]</f>
        <v>550.52499999999998</v>
      </c>
      <c r="M44" s="63">
        <f>Table1[[#This Row],[Total Non Aero Revenue]]/Table1[[Employees - 2015]:[Employees - 2015]]</f>
        <v>50230.306250000001</v>
      </c>
      <c r="N44" s="63">
        <f>Table1[[#This Row],[Total Aero revenue - 2015]]/Table1[[Employees - 2015]:[Employees - 2015]]</f>
        <v>69286.84375</v>
      </c>
      <c r="O44" s="38">
        <f>Table1[[#This Row],[Total enplanements - 2015]]/Table1[[TOTAL OPERATING EXPENSES - 2015]:[TOTAL OPERATING EXPENSES - 2015]]</f>
        <v>2.6778580204416463E-2</v>
      </c>
      <c r="P44" s="38">
        <f>Table1[[#This Row],[Annual aircraft operations - 2015]]/Table1[[TOTAL OPERATING EXPENSES - 2015]:[TOTAL OPERATING EXPENSES - 2015]]</f>
        <v>6.9663092851829896E-3</v>
      </c>
      <c r="Q44" s="37">
        <f>Table1[[#This Row],[Total Non Aero Revenue]]/Table1[[TOTAL OPERATING EXPENSES - 2015]:[TOTAL OPERATING EXPENSES - 2015]]</f>
        <v>0.63561118718852039</v>
      </c>
      <c r="R44" s="37">
        <f>Table1[[#This Row],[Total Aero revenue - 2015]]/Table1[[TOTAL OPERATING EXPENSES - 2015]:[TOTAL OPERATING EXPENSES - 2015]]</f>
        <v>0.87675143355278684</v>
      </c>
    </row>
    <row r="45" spans="2:18" x14ac:dyDescent="0.2">
      <c r="B45" t="s">
        <v>139</v>
      </c>
      <c r="C45" s="22" t="s">
        <v>140</v>
      </c>
      <c r="D45" s="53">
        <v>162</v>
      </c>
      <c r="E45" s="54">
        <v>21380293</v>
      </c>
      <c r="F45" s="53">
        <v>996837</v>
      </c>
      <c r="G45" s="54">
        <v>99039</v>
      </c>
      <c r="H45" s="54">
        <v>20286138</v>
      </c>
      <c r="I45" s="54">
        <v>10951628</v>
      </c>
      <c r="J45" s="35" t="str">
        <f>IF(Table1[[#This Row],[TOTAL OPERATING EXPENSES - 2015]]&gt;100000000,"yes","no")</f>
        <v>no</v>
      </c>
      <c r="K45" s="63">
        <f>Table1[[#This Row],[Total enplanements - 2015]]/Table1[[Employees - 2015]:[Employees - 2015]]</f>
        <v>6153.3148148148148</v>
      </c>
      <c r="L45" s="63">
        <f>Table1[[#This Row],[Annual aircraft operations - 2015]]/Table1[[Employees - 2015]:[Employees - 2015]]</f>
        <v>611.35185185185185</v>
      </c>
      <c r="M45" s="63">
        <f>Table1[[#This Row],[Total Non Aero Revenue]]/Table1[[Employees - 2015]:[Employees - 2015]]</f>
        <v>125223.07407407407</v>
      </c>
      <c r="N45" s="63">
        <f>Table1[[#This Row],[Total Aero revenue - 2015]]/Table1[[Employees - 2015]:[Employees - 2015]]</f>
        <v>67602.641975308637</v>
      </c>
      <c r="O45" s="38">
        <f>Table1[[#This Row],[Total enplanements - 2015]]/Table1[[TOTAL OPERATING EXPENSES - 2015]:[TOTAL OPERATING EXPENSES - 2015]]</f>
        <v>4.6624103795022825E-2</v>
      </c>
      <c r="P45" s="38">
        <f>Table1[[#This Row],[Annual aircraft operations - 2015]]/Table1[[TOTAL OPERATING EXPENSES - 2015]:[TOTAL OPERATING EXPENSES - 2015]]</f>
        <v>4.6322564428841083E-3</v>
      </c>
      <c r="Q45" s="37">
        <f>Table1[[#This Row],[Total Non Aero Revenue]]/Table1[[TOTAL OPERATING EXPENSES - 2015]:[TOTAL OPERATING EXPENSES - 2015]]</f>
        <v>0.94882413444942026</v>
      </c>
      <c r="R45" s="37">
        <f>Table1[[#This Row],[Total Aero revenue - 2015]]/Table1[[TOTAL OPERATING EXPENSES - 2015]:[TOTAL OPERATING EXPENSES - 2015]]</f>
        <v>0.51223002416290553</v>
      </c>
    </row>
    <row r="46" spans="2:18" x14ac:dyDescent="0.2">
      <c r="B46" t="s">
        <v>141</v>
      </c>
      <c r="C46" s="22" t="s">
        <v>142</v>
      </c>
      <c r="D46" s="53">
        <v>120</v>
      </c>
      <c r="E46" s="54">
        <v>26879561</v>
      </c>
      <c r="F46" s="53">
        <v>1276679</v>
      </c>
      <c r="G46" s="54">
        <v>300184</v>
      </c>
      <c r="H46" s="54">
        <v>17532933</v>
      </c>
      <c r="I46" s="54">
        <v>17957244</v>
      </c>
      <c r="J46" s="35" t="str">
        <f>IF(Table1[[#This Row],[TOTAL OPERATING EXPENSES - 2015]]&gt;100000000,"yes","no")</f>
        <v>no</v>
      </c>
      <c r="K46" s="63">
        <f>Table1[[#This Row],[Total enplanements - 2015]]/Table1[[Employees - 2015]:[Employees - 2015]]</f>
        <v>10638.991666666667</v>
      </c>
      <c r="L46" s="63">
        <f>Table1[[#This Row],[Annual aircraft operations - 2015]]/Table1[[Employees - 2015]:[Employees - 2015]]</f>
        <v>2501.5333333333333</v>
      </c>
      <c r="M46" s="63">
        <f>Table1[[#This Row],[Total Non Aero Revenue]]/Table1[[Employees - 2015]:[Employees - 2015]]</f>
        <v>146107.77499999999</v>
      </c>
      <c r="N46" s="63">
        <f>Table1[[#This Row],[Total Aero revenue - 2015]]/Table1[[Employees - 2015]:[Employees - 2015]]</f>
        <v>149643.70000000001</v>
      </c>
      <c r="O46" s="38">
        <f>Table1[[#This Row],[Total enplanements - 2015]]/Table1[[TOTAL OPERATING EXPENSES - 2015]:[TOTAL OPERATING EXPENSES - 2015]]</f>
        <v>4.7496274213704608E-2</v>
      </c>
      <c r="P46" s="38">
        <f>Table1[[#This Row],[Annual aircraft operations - 2015]]/Table1[[TOTAL OPERATING EXPENSES - 2015]:[TOTAL OPERATING EXPENSES - 2015]]</f>
        <v>1.1167741913642117E-2</v>
      </c>
      <c r="Q46" s="37">
        <f>Table1[[#This Row],[Total Non Aero Revenue]]/Table1[[TOTAL OPERATING EXPENSES - 2015]:[TOTAL OPERATING EXPENSES - 2015]]</f>
        <v>0.65227750557384478</v>
      </c>
      <c r="R46" s="37">
        <f>Table1[[#This Row],[Total Aero revenue - 2015]]/Table1[[TOTAL OPERATING EXPENSES - 2015]:[TOTAL OPERATING EXPENSES - 2015]]</f>
        <v>0.66806314284671542</v>
      </c>
    </row>
    <row r="47" spans="2:18" x14ac:dyDescent="0.2">
      <c r="B47" t="s">
        <v>143</v>
      </c>
      <c r="C47" s="22" t="s">
        <v>144</v>
      </c>
      <c r="D47" s="53">
        <v>3167</v>
      </c>
      <c r="E47" s="54">
        <v>645398203</v>
      </c>
      <c r="F47" s="53">
        <v>36114325</v>
      </c>
      <c r="G47" s="54">
        <v>642228</v>
      </c>
      <c r="H47" s="54">
        <v>446924136</v>
      </c>
      <c r="I47" s="54">
        <v>601771581</v>
      </c>
      <c r="J47" s="35" t="str">
        <f>IF(Table1[[#This Row],[TOTAL OPERATING EXPENSES - 2015]]&gt;100000000,"yes","no")</f>
        <v>yes</v>
      </c>
      <c r="K47" s="63">
        <f>Table1[[#This Row],[Total enplanements - 2015]]/Table1[[Employees - 2015]:[Employees - 2015]]</f>
        <v>11403.323334385854</v>
      </c>
      <c r="L47" s="63">
        <f>Table1[[#This Row],[Annual aircraft operations - 2015]]/Table1[[Employees - 2015]:[Employees - 2015]]</f>
        <v>202.78749605304705</v>
      </c>
      <c r="M47" s="63">
        <f>Table1[[#This Row],[Total Non Aero Revenue]]/Table1[[Employees - 2015]:[Employees - 2015]]</f>
        <v>141119.0830438901</v>
      </c>
      <c r="N47" s="63">
        <f>Table1[[#This Row],[Total Aero revenue - 2015]]/Table1[[Employees - 2015]:[Employees - 2015]]</f>
        <v>190013.12946005684</v>
      </c>
      <c r="O47" s="38">
        <f>Table1[[#This Row],[Total enplanements - 2015]]/Table1[[TOTAL OPERATING EXPENSES - 2015]:[TOTAL OPERATING EXPENSES - 2015]]</f>
        <v>5.5956655646281682E-2</v>
      </c>
      <c r="P47" s="38">
        <f>Table1[[#This Row],[Annual aircraft operations - 2015]]/Table1[[TOTAL OPERATING EXPENSES - 2015]:[TOTAL OPERATING EXPENSES - 2015]]</f>
        <v>9.9508798911235883E-4</v>
      </c>
      <c r="Q47" s="37">
        <f>Table1[[#This Row],[Total Non Aero Revenue]]/Table1[[TOTAL OPERATING EXPENSES - 2015]:[TOTAL OPERATING EXPENSES - 2015]]</f>
        <v>0.69247812268854425</v>
      </c>
      <c r="R47" s="37">
        <f>Table1[[#This Row],[Total Aero revenue - 2015]]/Table1[[TOTAL OPERATING EXPENSES - 2015]:[TOTAL OPERATING EXPENSES - 2015]]</f>
        <v>0.93240355830367871</v>
      </c>
    </row>
    <row r="48" spans="2:18" x14ac:dyDescent="0.2">
      <c r="B48" t="s">
        <v>145</v>
      </c>
      <c r="C48" s="22" t="s">
        <v>146</v>
      </c>
      <c r="D48" s="53">
        <v>248</v>
      </c>
      <c r="E48" s="54">
        <v>34000379</v>
      </c>
      <c r="F48" s="53">
        <v>1676047</v>
      </c>
      <c r="G48" s="54">
        <v>147140</v>
      </c>
      <c r="H48" s="54">
        <v>33611496</v>
      </c>
      <c r="I48" s="54">
        <v>31965444</v>
      </c>
      <c r="J48" s="35" t="str">
        <f>IF(Table1[[#This Row],[TOTAL OPERATING EXPENSES - 2015]]&gt;100000000,"yes","no")</f>
        <v>no</v>
      </c>
      <c r="K48" s="63">
        <f>Table1[[#This Row],[Total enplanements - 2015]]/Table1[[Employees - 2015]:[Employees - 2015]]</f>
        <v>6758.2540322580644</v>
      </c>
      <c r="L48" s="63">
        <f>Table1[[#This Row],[Annual aircraft operations - 2015]]/Table1[[Employees - 2015]:[Employees - 2015]]</f>
        <v>593.30645161290317</v>
      </c>
      <c r="M48" s="63">
        <f>Table1[[#This Row],[Total Non Aero Revenue]]/Table1[[Employees - 2015]:[Employees - 2015]]</f>
        <v>135530.22580645161</v>
      </c>
      <c r="N48" s="63">
        <f>Table1[[#This Row],[Total Aero revenue - 2015]]/Table1[[Employees - 2015]:[Employees - 2015]]</f>
        <v>128892.91935483871</v>
      </c>
      <c r="O48" s="38">
        <f>Table1[[#This Row],[Total enplanements - 2015]]/Table1[[TOTAL OPERATING EXPENSES - 2015]:[TOTAL OPERATING EXPENSES - 2015]]</f>
        <v>4.9294950506287002E-2</v>
      </c>
      <c r="P48" s="38">
        <f>Table1[[#This Row],[Annual aircraft operations - 2015]]/Table1[[TOTAL OPERATING EXPENSES - 2015]:[TOTAL OPERATING EXPENSES - 2015]]</f>
        <v>4.3275988188249317E-3</v>
      </c>
      <c r="Q48" s="37">
        <f>Table1[[#This Row],[Total Non Aero Revenue]]/Table1[[TOTAL OPERATING EXPENSES - 2015]:[TOTAL OPERATING EXPENSES - 2015]]</f>
        <v>0.98856239220156927</v>
      </c>
      <c r="R48" s="37">
        <f>Table1[[#This Row],[Total Aero revenue - 2015]]/Table1[[TOTAL OPERATING EXPENSES - 2015]:[TOTAL OPERATING EXPENSES - 2015]]</f>
        <v>0.94014963774374394</v>
      </c>
    </row>
    <row r="49" spans="2:18" x14ac:dyDescent="0.2">
      <c r="B49" t="s">
        <v>147</v>
      </c>
      <c r="C49" s="22" t="s">
        <v>148</v>
      </c>
      <c r="D49" s="53">
        <v>1307</v>
      </c>
      <c r="E49" s="54">
        <v>227199370</v>
      </c>
      <c r="F49" s="53">
        <v>21879137</v>
      </c>
      <c r="G49" s="54">
        <v>521559</v>
      </c>
      <c r="H49" s="54">
        <v>207292917</v>
      </c>
      <c r="I49" s="54">
        <v>286995394</v>
      </c>
      <c r="J49" s="35" t="str">
        <f>IF(Table1[[#This Row],[TOTAL OPERATING EXPENSES - 2015]]&gt;100000000,"yes","no")</f>
        <v>yes</v>
      </c>
      <c r="K49" s="63">
        <f>Table1[[#This Row],[Total enplanements - 2015]]/Table1[[Employees - 2015]:[Employees - 2015]]</f>
        <v>16739.967100229533</v>
      </c>
      <c r="L49" s="63">
        <f>Table1[[#This Row],[Annual aircraft operations - 2015]]/Table1[[Employees - 2015]:[Employees - 2015]]</f>
        <v>399.05049732211171</v>
      </c>
      <c r="M49" s="63">
        <f>Table1[[#This Row],[Total Non Aero Revenue]]/Table1[[Employees - 2015]:[Employees - 2015]]</f>
        <v>158602.07880642693</v>
      </c>
      <c r="N49" s="63">
        <f>Table1[[#This Row],[Total Aero revenue - 2015]]/Table1[[Employees - 2015]:[Employees - 2015]]</f>
        <v>219583.31599081866</v>
      </c>
      <c r="O49" s="38">
        <f>Table1[[#This Row],[Total enplanements - 2015]]/Table1[[TOTAL OPERATING EXPENSES - 2015]:[TOTAL OPERATING EXPENSES - 2015]]</f>
        <v>9.6299285512983598E-2</v>
      </c>
      <c r="P49" s="38">
        <f>Table1[[#This Row],[Annual aircraft operations - 2015]]/Table1[[TOTAL OPERATING EXPENSES - 2015]:[TOTAL OPERATING EXPENSES - 2015]]</f>
        <v>2.2956005555825267E-3</v>
      </c>
      <c r="Q49" s="37">
        <f>Table1[[#This Row],[Total Non Aero Revenue]]/Table1[[TOTAL OPERATING EXPENSES - 2015]:[TOTAL OPERATING EXPENSES - 2015]]</f>
        <v>0.91238332659109045</v>
      </c>
      <c r="R49" s="37">
        <f>Table1[[#This Row],[Total Aero revenue - 2015]]/Table1[[TOTAL OPERATING EXPENSES - 2015]:[TOTAL OPERATING EXPENSES - 2015]]</f>
        <v>1.263187455141271</v>
      </c>
    </row>
    <row r="50" spans="2:18" x14ac:dyDescent="0.2">
      <c r="B50" t="s">
        <v>149</v>
      </c>
      <c r="C50" s="22" t="s">
        <v>150</v>
      </c>
      <c r="D50" s="53">
        <v>149</v>
      </c>
      <c r="E50" s="54">
        <v>18213469</v>
      </c>
      <c r="F50" s="53">
        <v>871964</v>
      </c>
      <c r="G50" s="54">
        <v>100421</v>
      </c>
      <c r="H50" s="54">
        <v>15567020</v>
      </c>
      <c r="I50" s="54">
        <v>10776925</v>
      </c>
      <c r="J50" s="35" t="str">
        <f>IF(Table1[[#This Row],[TOTAL OPERATING EXPENSES - 2015]]&gt;100000000,"yes","no")</f>
        <v>no</v>
      </c>
      <c r="K50" s="63">
        <f>Table1[[#This Row],[Total enplanements - 2015]]/Table1[[Employees - 2015]:[Employees - 2015]]</f>
        <v>5852.1073825503354</v>
      </c>
      <c r="L50" s="63">
        <f>Table1[[#This Row],[Annual aircraft operations - 2015]]/Table1[[Employees - 2015]:[Employees - 2015]]</f>
        <v>673.96644295302008</v>
      </c>
      <c r="M50" s="63">
        <f>Table1[[#This Row],[Total Non Aero Revenue]]/Table1[[Employees - 2015]:[Employees - 2015]]</f>
        <v>104476.64429530202</v>
      </c>
      <c r="N50" s="63">
        <f>Table1[[#This Row],[Total Aero revenue - 2015]]/Table1[[Employees - 2015]:[Employees - 2015]]</f>
        <v>72328.355704697984</v>
      </c>
      <c r="O50" s="38">
        <f>Table1[[#This Row],[Total enplanements - 2015]]/Table1[[TOTAL OPERATING EXPENSES - 2015]:[TOTAL OPERATING EXPENSES - 2015]]</f>
        <v>4.7874679996435604E-2</v>
      </c>
      <c r="P50" s="38">
        <f>Table1[[#This Row],[Annual aircraft operations - 2015]]/Table1[[TOTAL OPERATING EXPENSES - 2015]:[TOTAL OPERATING EXPENSES - 2015]]</f>
        <v>5.5135570274943233E-3</v>
      </c>
      <c r="Q50" s="37">
        <f>Table1[[#This Row],[Total Non Aero Revenue]]/Table1[[TOTAL OPERATING EXPENSES - 2015]:[TOTAL OPERATING EXPENSES - 2015]]</f>
        <v>0.8546982455676071</v>
      </c>
      <c r="R50" s="37">
        <f>Table1[[#This Row],[Total Aero revenue - 2015]]/Table1[[TOTAL OPERATING EXPENSES - 2015]:[TOTAL OPERATING EXPENSES - 2015]]</f>
        <v>0.59170084512730658</v>
      </c>
    </row>
    <row r="51" spans="2:18" x14ac:dyDescent="0.2">
      <c r="B51" t="s">
        <v>151</v>
      </c>
      <c r="C51" s="22" t="s">
        <v>152</v>
      </c>
      <c r="D51" s="53">
        <v>296</v>
      </c>
      <c r="E51" s="54">
        <v>52591000</v>
      </c>
      <c r="F51" s="53">
        <v>1788805</v>
      </c>
      <c r="G51" s="54">
        <v>218459</v>
      </c>
      <c r="H51" s="54">
        <v>29412000</v>
      </c>
      <c r="I51" s="54">
        <v>69937000</v>
      </c>
      <c r="J51" s="35" t="str">
        <f>IF(Table1[[#This Row],[TOTAL OPERATING EXPENSES - 2015]]&gt;100000000,"yes","no")</f>
        <v>no</v>
      </c>
      <c r="K51" s="63">
        <f>Table1[[#This Row],[Total enplanements - 2015]]/Table1[[Employees - 2015]:[Employees - 2015]]</f>
        <v>6043.260135135135</v>
      </c>
      <c r="L51" s="63">
        <f>Table1[[#This Row],[Annual aircraft operations - 2015]]/Table1[[Employees - 2015]:[Employees - 2015]]</f>
        <v>738.03716216216219</v>
      </c>
      <c r="M51" s="63">
        <f>Table1[[#This Row],[Total Non Aero Revenue]]/Table1[[Employees - 2015]:[Employees - 2015]]</f>
        <v>99364.864864864867</v>
      </c>
      <c r="N51" s="63">
        <f>Table1[[#This Row],[Total Aero revenue - 2015]]/Table1[[Employees - 2015]:[Employees - 2015]]</f>
        <v>236273.64864864864</v>
      </c>
      <c r="O51" s="38">
        <f>Table1[[#This Row],[Total enplanements - 2015]]/Table1[[TOTAL OPERATING EXPENSES - 2015]:[TOTAL OPERATING EXPENSES - 2015]]</f>
        <v>3.4013519423475497E-2</v>
      </c>
      <c r="P51" s="38">
        <f>Table1[[#This Row],[Annual aircraft operations - 2015]]/Table1[[TOTAL OPERATING EXPENSES - 2015]:[TOTAL OPERATING EXPENSES - 2015]]</f>
        <v>4.1539236751535437E-3</v>
      </c>
      <c r="Q51" s="37">
        <f>Table1[[#This Row],[Total Non Aero Revenue]]/Table1[[TOTAL OPERATING EXPENSES - 2015]:[TOTAL OPERATING EXPENSES - 2015]]</f>
        <v>0.55925918883459147</v>
      </c>
      <c r="R51" s="37">
        <f>Table1[[#This Row],[Total Aero revenue - 2015]]/Table1[[TOTAL OPERATING EXPENSES - 2015]:[TOTAL OPERATING EXPENSES - 2015]]</f>
        <v>1.3298282976174631</v>
      </c>
    </row>
    <row r="52" spans="2:18" x14ac:dyDescent="0.2">
      <c r="B52" t="s">
        <v>153</v>
      </c>
      <c r="C52" s="22" t="s">
        <v>154</v>
      </c>
      <c r="D52" s="53">
        <v>1192</v>
      </c>
      <c r="E52" s="54">
        <v>425978315</v>
      </c>
      <c r="F52" s="53">
        <v>21375095</v>
      </c>
      <c r="G52" s="54">
        <v>405896</v>
      </c>
      <c r="H52" s="54">
        <v>275371292</v>
      </c>
      <c r="I52" s="54">
        <v>519011715</v>
      </c>
      <c r="J52" s="35" t="str">
        <f>IF(Table1[[#This Row],[TOTAL OPERATING EXPENSES - 2015]]&gt;100000000,"yes","no")</f>
        <v>yes</v>
      </c>
      <c r="K52" s="63">
        <f>Table1[[#This Row],[Total enplanements - 2015]]/Table1[[Employees - 2015]:[Employees - 2015]]</f>
        <v>17932.12667785235</v>
      </c>
      <c r="L52" s="63">
        <f>Table1[[#This Row],[Annual aircraft operations - 2015]]/Table1[[Employees - 2015]:[Employees - 2015]]</f>
        <v>340.51677852348996</v>
      </c>
      <c r="M52" s="63">
        <f>Table1[[#This Row],[Total Non Aero Revenue]]/Table1[[Employees - 2015]:[Employees - 2015]]</f>
        <v>231016.18456375838</v>
      </c>
      <c r="N52" s="63">
        <f>Table1[[#This Row],[Total Aero revenue - 2015]]/Table1[[Employees - 2015]:[Employees - 2015]]</f>
        <v>435412.51258389262</v>
      </c>
      <c r="O52" s="38">
        <f>Table1[[#This Row],[Total enplanements - 2015]]/Table1[[TOTAL OPERATING EXPENSES - 2015]:[TOTAL OPERATING EXPENSES - 2015]]</f>
        <v>5.0178833633820072E-2</v>
      </c>
      <c r="P52" s="38">
        <f>Table1[[#This Row],[Annual aircraft operations - 2015]]/Table1[[TOTAL OPERATING EXPENSES - 2015]:[TOTAL OPERATING EXPENSES - 2015]]</f>
        <v>9.5285601568708962E-4</v>
      </c>
      <c r="Q52">
        <f>Table1[[#This Row],[Total Non Aero Revenue]]/Table1[[TOTAL OPERATING EXPENSES - 2015]:[TOTAL OPERATING EXPENSES - 2015]]</f>
        <v>0.64644439001548704</v>
      </c>
      <c r="R52">
        <f>Table1[[#This Row],[Total Aero revenue - 2015]]/Table1[[TOTAL OPERATING EXPENSES - 2015]:[TOTAL OPERATING EXPENSES - 2015]]</f>
        <v>1.2183993802595328</v>
      </c>
    </row>
    <row r="53" spans="2:18" x14ac:dyDescent="0.2">
      <c r="B53" t="s">
        <v>155</v>
      </c>
      <c r="C53" s="22" t="s">
        <v>156</v>
      </c>
      <c r="D53" s="53">
        <v>591</v>
      </c>
      <c r="E53" s="54">
        <v>133266239</v>
      </c>
      <c r="F53" s="53">
        <v>18273449</v>
      </c>
      <c r="G53" s="54">
        <v>404612</v>
      </c>
      <c r="H53" s="54">
        <v>169986376</v>
      </c>
      <c r="I53" s="54">
        <v>125522924</v>
      </c>
      <c r="J53" s="35" t="str">
        <f>IF(Table1[[#This Row],[TOTAL OPERATING EXPENSES - 2015]]&gt;100000000,"yes","no")</f>
        <v>yes</v>
      </c>
      <c r="K53" s="63">
        <f>Table1[[#This Row],[Total enplanements - 2015]]/Table1[[Employees - 2015]:[Employees - 2015]]</f>
        <v>30919.541455160743</v>
      </c>
      <c r="L53" s="63">
        <f>Table1[[#This Row],[Annual aircraft operations - 2015]]/Table1[[Employees - 2015]:[Employees - 2015]]</f>
        <v>684.62267343485621</v>
      </c>
      <c r="M53" s="63">
        <f>Table1[[#This Row],[Total Non Aero Revenue]]/Table1[[Employees - 2015]:[Employees - 2015]]</f>
        <v>287625.0016920474</v>
      </c>
      <c r="N53" s="63">
        <f>Table1[[#This Row],[Total Aero revenue - 2015]]/Table1[[Employees - 2015]:[Employees - 2015]]</f>
        <v>212390.73434856176</v>
      </c>
      <c r="O53" s="38">
        <f>Table1[[#This Row],[Total enplanements - 2015]]/Table1[[TOTAL OPERATING EXPENSES - 2015]:[TOTAL OPERATING EXPENSES - 2015]]</f>
        <v>0.13711986724559699</v>
      </c>
      <c r="P53" s="38">
        <f>Table1[[#This Row],[Annual aircraft operations - 2015]]/Table1[[TOTAL OPERATING EXPENSES - 2015]:[TOTAL OPERATING EXPENSES - 2015]]</f>
        <v>3.0361177972464577E-3</v>
      </c>
      <c r="Q53">
        <f>Table1[[#This Row],[Total Non Aero Revenue]]/Table1[[TOTAL OPERATING EXPENSES - 2015]:[TOTAL OPERATING EXPENSES - 2015]]</f>
        <v>1.2755396811340942</v>
      </c>
      <c r="R53">
        <f>Table1[[#This Row],[Total Aero revenue - 2015]]/Table1[[TOTAL OPERATING EXPENSES - 2015]:[TOTAL OPERATING EXPENSES - 2015]]</f>
        <v>0.94189589908063664</v>
      </c>
    </row>
    <row r="54" spans="2:18" x14ac:dyDescent="0.2">
      <c r="B54" t="s">
        <v>157</v>
      </c>
      <c r="C54" s="22" t="s">
        <v>158</v>
      </c>
      <c r="D54" s="53">
        <v>103</v>
      </c>
      <c r="E54" s="54">
        <v>10749927</v>
      </c>
      <c r="F54" s="53">
        <v>289882</v>
      </c>
      <c r="G54" s="54">
        <v>136814</v>
      </c>
      <c r="H54" s="54">
        <v>9018197</v>
      </c>
      <c r="I54" s="54">
        <v>5518111</v>
      </c>
      <c r="J54" s="35" t="str">
        <f>IF(Table1[[#This Row],[TOTAL OPERATING EXPENSES - 2015]]&gt;100000000,"yes","no")</f>
        <v>no</v>
      </c>
      <c r="K54" s="63">
        <f>Table1[[#This Row],[Total enplanements - 2015]]/Table1[[Employees - 2015]:[Employees - 2015]]</f>
        <v>2814.3883495145633</v>
      </c>
      <c r="L54" s="63">
        <f>Table1[[#This Row],[Annual aircraft operations - 2015]]/Table1[[Employees - 2015]:[Employees - 2015]]</f>
        <v>1328.2912621359224</v>
      </c>
      <c r="M54" s="63">
        <f>Table1[[#This Row],[Total Non Aero Revenue]]/Table1[[Employees - 2015]:[Employees - 2015]]</f>
        <v>87555.310679611648</v>
      </c>
      <c r="N54" s="63">
        <f>Table1[[#This Row],[Total Aero revenue - 2015]]/Table1[[Employees - 2015]:[Employees - 2015]]</f>
        <v>53573.893203883497</v>
      </c>
      <c r="O54" s="38">
        <f>Table1[[#This Row],[Total enplanements - 2015]]/Table1[[TOTAL OPERATING EXPENSES - 2015]:[TOTAL OPERATING EXPENSES - 2015]]</f>
        <v>2.6965950559478216E-2</v>
      </c>
      <c r="P54" s="38">
        <f>Table1[[#This Row],[Annual aircraft operations - 2015]]/Table1[[TOTAL OPERATING EXPENSES - 2015]:[TOTAL OPERATING EXPENSES - 2015]]</f>
        <v>1.2726970145936805E-2</v>
      </c>
      <c r="Q54">
        <f>Table1[[#This Row],[Total Non Aero Revenue]]/Table1[[TOTAL OPERATING EXPENSES - 2015]:[TOTAL OPERATING EXPENSES - 2015]]</f>
        <v>0.83890774328048923</v>
      </c>
      <c r="R54">
        <f>Table1[[#This Row],[Total Aero revenue - 2015]]/Table1[[TOTAL OPERATING EXPENSES - 2015]:[TOTAL OPERATING EXPENSES - 2015]]</f>
        <v>0.51331613693748801</v>
      </c>
    </row>
    <row r="55" spans="2:18" x14ac:dyDescent="0.2">
      <c r="B55" t="s">
        <v>159</v>
      </c>
      <c r="C55" s="22" t="s">
        <v>160</v>
      </c>
      <c r="D55" s="53">
        <v>129</v>
      </c>
      <c r="E55" s="54">
        <v>13689806</v>
      </c>
      <c r="F55" s="53">
        <v>886345</v>
      </c>
      <c r="G55" s="54">
        <v>162625</v>
      </c>
      <c r="H55" s="54">
        <v>8040955</v>
      </c>
      <c r="I55" s="54">
        <v>10758392</v>
      </c>
      <c r="J55" s="35" t="str">
        <f>IF(Table1[[#This Row],[TOTAL OPERATING EXPENSES - 2015]]&gt;100000000,"yes","no")</f>
        <v>no</v>
      </c>
      <c r="K55" s="63">
        <f>Table1[[#This Row],[Total enplanements - 2015]]/Table1[[Employees - 2015]:[Employees - 2015]]</f>
        <v>6870.8914728682166</v>
      </c>
      <c r="L55" s="63">
        <f>Table1[[#This Row],[Annual aircraft operations - 2015]]/Table1[[Employees - 2015]:[Employees - 2015]]</f>
        <v>1260.6589147286822</v>
      </c>
      <c r="M55" s="63">
        <f>Table1[[#This Row],[Total Non Aero Revenue]]/Table1[[Employees - 2015]:[Employees - 2015]]</f>
        <v>62332.984496124031</v>
      </c>
      <c r="N55" s="63">
        <f>Table1[[#This Row],[Total Aero revenue - 2015]]/Table1[[Employees - 2015]:[Employees - 2015]]</f>
        <v>83398.387596899222</v>
      </c>
      <c r="O55" s="38">
        <f>Table1[[#This Row],[Total enplanements - 2015]]/Table1[[TOTAL OPERATING EXPENSES - 2015]:[TOTAL OPERATING EXPENSES - 2015]]</f>
        <v>6.4744891198604271E-2</v>
      </c>
      <c r="P55" s="38">
        <f>Table1[[#This Row],[Annual aircraft operations - 2015]]/Table1[[TOTAL OPERATING EXPENSES - 2015]:[TOTAL OPERATING EXPENSES - 2015]]</f>
        <v>1.1879277178946145E-2</v>
      </c>
      <c r="Q55">
        <f>Table1[[#This Row],[Total Non Aero Revenue]]/Table1[[TOTAL OPERATING EXPENSES - 2015]:[TOTAL OPERATING EXPENSES - 2015]]</f>
        <v>0.5873680751940531</v>
      </c>
      <c r="R55">
        <f>Table1[[#This Row],[Total Aero revenue - 2015]]/Table1[[TOTAL OPERATING EXPENSES - 2015]:[TOTAL OPERATING EXPENSES - 2015]]</f>
        <v>0.78586884284554503</v>
      </c>
    </row>
    <row r="56" spans="2:18" x14ac:dyDescent="0.2">
      <c r="B56" t="s">
        <v>161</v>
      </c>
      <c r="C56" s="22" t="s">
        <v>162</v>
      </c>
      <c r="D56" s="53">
        <v>289</v>
      </c>
      <c r="E56" s="54">
        <v>72487808</v>
      </c>
      <c r="F56" s="53">
        <v>5604148</v>
      </c>
      <c r="G56" s="54">
        <v>178732</v>
      </c>
      <c r="H56" s="54">
        <v>69607358</v>
      </c>
      <c r="I56" s="54">
        <v>46147712</v>
      </c>
      <c r="J56" s="35" t="str">
        <f>IF(Table1[[#This Row],[TOTAL OPERATING EXPENSES - 2015]]&gt;100000000,"yes","no")</f>
        <v>no</v>
      </c>
      <c r="K56" s="63">
        <f>Table1[[#This Row],[Total enplanements - 2015]]/Table1[[Employees - 2015]:[Employees - 2015]]</f>
        <v>19391.515570934254</v>
      </c>
      <c r="L56" s="63">
        <f>Table1[[#This Row],[Annual aircraft operations - 2015]]/Table1[[Employees - 2015]:[Employees - 2015]]</f>
        <v>618.4498269896194</v>
      </c>
      <c r="M56" s="63">
        <f>Table1[[#This Row],[Total Non Aero Revenue]]/Table1[[Employees - 2015]:[Employees - 2015]]</f>
        <v>240855.91003460207</v>
      </c>
      <c r="N56" s="63">
        <f>Table1[[#This Row],[Total Aero revenue - 2015]]/Table1[[Employees - 2015]:[Employees - 2015]]</f>
        <v>159680.66435986158</v>
      </c>
      <c r="O56" s="38">
        <f>Table1[[#This Row],[Total enplanements - 2015]]/Table1[[TOTAL OPERATING EXPENSES - 2015]:[TOTAL OPERATING EXPENSES - 2015]]</f>
        <v>7.731159424768369E-2</v>
      </c>
      <c r="P56" s="38">
        <f>Table1[[#This Row],[Annual aircraft operations - 2015]]/Table1[[TOTAL OPERATING EXPENSES - 2015]:[TOTAL OPERATING EXPENSES - 2015]]</f>
        <v>2.4656836084766143E-3</v>
      </c>
      <c r="Q56">
        <f>Table1[[#This Row],[Total Non Aero Revenue]]/Table1[[TOTAL OPERATING EXPENSES - 2015]:[TOTAL OPERATING EXPENSES - 2015]]</f>
        <v>0.96026297277467676</v>
      </c>
      <c r="R56">
        <f>Table1[[#This Row],[Total Aero revenue - 2015]]/Table1[[TOTAL OPERATING EXPENSES - 2015]:[TOTAL OPERATING EXPENSES - 2015]]</f>
        <v>0.63662722426369966</v>
      </c>
    </row>
    <row r="57" spans="2:18" x14ac:dyDescent="0.2">
      <c r="B57" t="s">
        <v>163</v>
      </c>
      <c r="C57" s="22" t="s">
        <v>164</v>
      </c>
      <c r="D57" s="53">
        <v>162</v>
      </c>
      <c r="E57" s="54">
        <v>42845662</v>
      </c>
      <c r="F57" s="53">
        <v>5344625</v>
      </c>
      <c r="G57" s="54">
        <v>105277</v>
      </c>
      <c r="H57" s="54">
        <v>32936152</v>
      </c>
      <c r="I57" s="54">
        <v>42694239</v>
      </c>
      <c r="J57" s="35" t="str">
        <f>IF(Table1[[#This Row],[TOTAL OPERATING EXPENSES - 2015]]&gt;100000000,"yes","no")</f>
        <v>no</v>
      </c>
      <c r="K57" s="63">
        <f>Table1[[#This Row],[Total enplanements - 2015]]/Table1[[Employees - 2015]:[Employees - 2015]]</f>
        <v>32991.51234567901</v>
      </c>
      <c r="L57" s="63">
        <f>Table1[[#This Row],[Annual aircraft operations - 2015]]/Table1[[Employees - 2015]:[Employees - 2015]]</f>
        <v>649.85802469135797</v>
      </c>
      <c r="M57" s="63">
        <f>Table1[[#This Row],[Total Non Aero Revenue]]/Table1[[Employees - 2015]:[Employees - 2015]]</f>
        <v>203309.58024691357</v>
      </c>
      <c r="N57" s="63">
        <f>Table1[[#This Row],[Total Aero revenue - 2015]]/Table1[[Employees - 2015]:[Employees - 2015]]</f>
        <v>263544.68518518517</v>
      </c>
      <c r="O57" s="38">
        <f>Table1[[#This Row],[Total enplanements - 2015]]/Table1[[TOTAL OPERATING EXPENSES - 2015]:[TOTAL OPERATING EXPENSES - 2015]]</f>
        <v>0.12474133320661494</v>
      </c>
      <c r="P57" s="38">
        <f>Table1[[#This Row],[Annual aircraft operations - 2015]]/Table1[[TOTAL OPERATING EXPENSES - 2015]:[TOTAL OPERATING EXPENSES - 2015]]</f>
        <v>2.4571215634385576E-3</v>
      </c>
      <c r="Q57">
        <f>Table1[[#This Row],[Total Non Aero Revenue]]/Table1[[TOTAL OPERATING EXPENSES - 2015]:[TOTAL OPERATING EXPENSES - 2015]]</f>
        <v>0.76871614213826356</v>
      </c>
      <c r="R57">
        <f>Table1[[#This Row],[Total Aero revenue - 2015]]/Table1[[TOTAL OPERATING EXPENSES - 2015]:[TOTAL OPERATING EXPENSES - 2015]]</f>
        <v>0.99646584991498088</v>
      </c>
    </row>
    <row r="58" spans="2:18" x14ac:dyDescent="0.2">
      <c r="B58" t="s">
        <v>165</v>
      </c>
      <c r="C58" s="22" t="s">
        <v>166</v>
      </c>
      <c r="D58" s="53">
        <v>383</v>
      </c>
      <c r="E58" s="54">
        <v>474822448</v>
      </c>
      <c r="F58" s="53">
        <v>18789673</v>
      </c>
      <c r="G58" s="54">
        <v>415534</v>
      </c>
      <c r="H58" s="54">
        <v>255322611</v>
      </c>
      <c r="I58" s="54">
        <v>652396219</v>
      </c>
      <c r="J58" s="35" t="str">
        <f>IF(Table1[[#This Row],[TOTAL OPERATING EXPENSES - 2015]]&gt;100000000,"yes","no")</f>
        <v>yes</v>
      </c>
      <c r="K58" s="63">
        <f>Table1[[#This Row],[Total enplanements - 2015]]/Table1[[Employees - 2015]:[Employees - 2015]]</f>
        <v>49059.198433420366</v>
      </c>
      <c r="L58" s="63">
        <f>Table1[[#This Row],[Annual aircraft operations - 2015]]/Table1[[Employees - 2015]:[Employees - 2015]]</f>
        <v>1084.9451697127938</v>
      </c>
      <c r="M58" s="63">
        <f>Table1[[#This Row],[Total Non Aero Revenue]]/Table1[[Employees - 2015]:[Employees - 2015]]</f>
        <v>666638.67101827671</v>
      </c>
      <c r="N58" s="63">
        <f>Table1[[#This Row],[Total Aero revenue - 2015]]/Table1[[Employees - 2015]:[Employees - 2015]]</f>
        <v>1703384.3838120105</v>
      </c>
      <c r="O58" s="38">
        <f>Table1[[#This Row],[Total enplanements - 2015]]/Table1[[TOTAL OPERATING EXPENSES - 2015]:[TOTAL OPERATING EXPENSES - 2015]]</f>
        <v>3.9571998078742898E-2</v>
      </c>
      <c r="P58" s="38">
        <f>Table1[[#This Row],[Annual aircraft operations - 2015]]/Table1[[TOTAL OPERATING EXPENSES - 2015]:[TOTAL OPERATING EXPENSES - 2015]]</f>
        <v>8.751355411907569E-4</v>
      </c>
      <c r="Q58">
        <f>Table1[[#This Row],[Total Non Aero Revenue]]/Table1[[TOTAL OPERATING EXPENSES - 2015]:[TOTAL OPERATING EXPENSES - 2015]]</f>
        <v>0.53772228350922446</v>
      </c>
      <c r="R58">
        <f>Table1[[#This Row],[Total Aero revenue - 2015]]/Table1[[TOTAL OPERATING EXPENSES - 2015]:[TOTAL OPERATING EXPENSES - 2015]]</f>
        <v>1.373979308998466</v>
      </c>
    </row>
    <row r="59" spans="2:18" x14ac:dyDescent="0.2">
      <c r="B59" t="s">
        <v>167</v>
      </c>
      <c r="C59" s="22" t="s">
        <v>168</v>
      </c>
      <c r="D59" s="53">
        <v>201</v>
      </c>
      <c r="E59" s="54">
        <v>32369787</v>
      </c>
      <c r="F59" s="53">
        <v>1450388</v>
      </c>
      <c r="G59" s="54">
        <v>71336</v>
      </c>
      <c r="H59" s="54">
        <v>24614773</v>
      </c>
      <c r="I59" s="54">
        <v>14784667</v>
      </c>
      <c r="J59" s="35" t="str">
        <f>IF(Table1[[#This Row],[TOTAL OPERATING EXPENSES - 2015]]&gt;100000000,"yes","no")</f>
        <v>no</v>
      </c>
      <c r="K59" s="63">
        <f>Table1[[#This Row],[Total enplanements - 2015]]/Table1[[Employees - 2015]:[Employees - 2015]]</f>
        <v>7215.8606965174131</v>
      </c>
      <c r="L59" s="63">
        <f>Table1[[#This Row],[Annual aircraft operations - 2015]]/Table1[[Employees - 2015]:[Employees - 2015]]</f>
        <v>354.90547263681594</v>
      </c>
      <c r="M59" s="63">
        <f>Table1[[#This Row],[Total Non Aero Revenue]]/Table1[[Employees - 2015]:[Employees - 2015]]</f>
        <v>122461.55721393035</v>
      </c>
      <c r="N59" s="63">
        <f>Table1[[#This Row],[Total Aero revenue - 2015]]/Table1[[Employees - 2015]:[Employees - 2015]]</f>
        <v>73555.557213930355</v>
      </c>
      <c r="O59" s="38">
        <f>Table1[[#This Row],[Total enplanements - 2015]]/Table1[[TOTAL OPERATING EXPENSES - 2015]:[TOTAL OPERATING EXPENSES - 2015]]</f>
        <v>4.4806844110528127E-2</v>
      </c>
      <c r="P59" s="38">
        <f>Table1[[#This Row],[Annual aircraft operations - 2015]]/Table1[[TOTAL OPERATING EXPENSES - 2015]:[TOTAL OPERATING EXPENSES - 2015]]</f>
        <v>2.2037834231037725E-3</v>
      </c>
      <c r="Q59">
        <f>Table1[[#This Row],[Total Non Aero Revenue]]/Table1[[TOTAL OPERATING EXPENSES - 2015]:[TOTAL OPERATING EXPENSES - 2015]]</f>
        <v>0.76042431172006164</v>
      </c>
      <c r="R59">
        <f>Table1[[#This Row],[Total Aero revenue - 2015]]/Table1[[TOTAL OPERATING EXPENSES - 2015]:[TOTAL OPERATING EXPENSES - 2015]]</f>
        <v>0.45674279537273443</v>
      </c>
    </row>
    <row r="60" spans="2:18" x14ac:dyDescent="0.2">
      <c r="B60" t="s">
        <v>169</v>
      </c>
      <c r="C60" s="22" t="s">
        <v>170</v>
      </c>
      <c r="D60" s="53">
        <v>222</v>
      </c>
      <c r="E60" s="54">
        <v>119466284</v>
      </c>
      <c r="F60" s="53">
        <v>5374187</v>
      </c>
      <c r="G60" s="54">
        <v>209183</v>
      </c>
      <c r="H60" s="54">
        <v>69287645</v>
      </c>
      <c r="I60" s="54">
        <v>93271475</v>
      </c>
      <c r="J60" s="35" t="str">
        <f>IF(Table1[[#This Row],[TOTAL OPERATING EXPENSES - 2015]]&gt;100000000,"yes","no")</f>
        <v>yes</v>
      </c>
      <c r="K60" s="63">
        <f>Table1[[#This Row],[Total enplanements - 2015]]/Table1[[Employees - 2015]:[Employees - 2015]]</f>
        <v>24208.049549549549</v>
      </c>
      <c r="L60" s="63">
        <f>Table1[[#This Row],[Annual aircraft operations - 2015]]/Table1[[Employees - 2015]:[Employees - 2015]]</f>
        <v>942.26576576576576</v>
      </c>
      <c r="M60" s="63">
        <f>Table1[[#This Row],[Total Non Aero Revenue]]/Table1[[Employees - 2015]:[Employees - 2015]]</f>
        <v>312106.50900900899</v>
      </c>
      <c r="N60" s="63">
        <f>Table1[[#This Row],[Total Aero revenue - 2015]]/Table1[[Employees - 2015]:[Employees - 2015]]</f>
        <v>420141.77927927929</v>
      </c>
      <c r="O60" s="38">
        <f>Table1[[#This Row],[Total enplanements - 2015]]/Table1[[TOTAL OPERATING EXPENSES - 2015]:[TOTAL OPERATING EXPENSES - 2015]]</f>
        <v>4.4984968311226621E-2</v>
      </c>
      <c r="P60" s="38">
        <f>Table1[[#This Row],[Annual aircraft operations - 2015]]/Table1[[TOTAL OPERATING EXPENSES - 2015]:[TOTAL OPERATING EXPENSES - 2015]]</f>
        <v>1.750979380927258E-3</v>
      </c>
      <c r="Q60">
        <f>Table1[[#This Row],[Total Non Aero Revenue]]/Table1[[TOTAL OPERATING EXPENSES - 2015]:[TOTAL OPERATING EXPENSES - 2015]]</f>
        <v>0.57997656476868398</v>
      </c>
      <c r="R60">
        <f>Table1[[#This Row],[Total Aero revenue - 2015]]/Table1[[TOTAL OPERATING EXPENSES - 2015]:[TOTAL OPERATING EXPENSES - 2015]]</f>
        <v>0.78073471340248601</v>
      </c>
    </row>
    <row r="61" spans="2:18" x14ac:dyDescent="0.2">
      <c r="B61" t="s">
        <v>171</v>
      </c>
      <c r="C61" s="22" t="s">
        <v>172</v>
      </c>
      <c r="D61" s="53">
        <v>189</v>
      </c>
      <c r="E61" s="54">
        <v>52616798</v>
      </c>
      <c r="F61" s="53">
        <v>2085482</v>
      </c>
      <c r="G61" s="54">
        <v>85306</v>
      </c>
      <c r="H61" s="54">
        <v>26839761</v>
      </c>
      <c r="I61" s="54">
        <v>30596566</v>
      </c>
      <c r="J61" s="35" t="str">
        <f>IF(Table1[[#This Row],[TOTAL OPERATING EXPENSES - 2015]]&gt;100000000,"yes","no")</f>
        <v>no</v>
      </c>
      <c r="K61" s="63">
        <f>Table1[[#This Row],[Total enplanements - 2015]]/Table1[[Employees - 2015]:[Employees - 2015]]</f>
        <v>11034.296296296296</v>
      </c>
      <c r="L61" s="63">
        <f>Table1[[#This Row],[Annual aircraft operations - 2015]]/Table1[[Employees - 2015]:[Employees - 2015]]</f>
        <v>451.35449735449737</v>
      </c>
      <c r="M61" s="63">
        <f>Table1[[#This Row],[Total Non Aero Revenue]]/Table1[[Employees - 2015]:[Employees - 2015]]</f>
        <v>142009.31746031746</v>
      </c>
      <c r="N61" s="63">
        <f>Table1[[#This Row],[Total Aero revenue - 2015]]/Table1[[Employees - 2015]:[Employees - 2015]]</f>
        <v>161886.59259259258</v>
      </c>
      <c r="O61" s="38">
        <f>Table1[[#This Row],[Total enplanements - 2015]]/Table1[[TOTAL OPERATING EXPENSES - 2015]:[TOTAL OPERATING EXPENSES - 2015]]</f>
        <v>3.9635289095318951E-2</v>
      </c>
      <c r="P61" s="38">
        <f>Table1[[#This Row],[Annual aircraft operations - 2015]]/Table1[[TOTAL OPERATING EXPENSES - 2015]:[TOTAL OPERATING EXPENSES - 2015]]</f>
        <v>1.6212693140316139E-3</v>
      </c>
      <c r="Q61">
        <f>Table1[[#This Row],[Total Non Aero Revenue]]/Table1[[TOTAL OPERATING EXPENSES - 2015]:[TOTAL OPERATING EXPENSES - 2015]]</f>
        <v>0.51009871410267116</v>
      </c>
      <c r="R61">
        <f>Table1[[#This Row],[Total Aero revenue - 2015]]/Table1[[TOTAL OPERATING EXPENSES - 2015]:[TOTAL OPERATING EXPENSES - 2015]]</f>
        <v>0.58149806075238553</v>
      </c>
    </row>
    <row r="62" spans="2:18" x14ac:dyDescent="0.2">
      <c r="B62" t="s">
        <v>173</v>
      </c>
      <c r="C62" s="22" t="s">
        <v>174</v>
      </c>
      <c r="D62" s="53">
        <v>624</v>
      </c>
      <c r="E62" s="54">
        <v>237766830</v>
      </c>
      <c r="F62" s="53">
        <v>18827393</v>
      </c>
      <c r="G62" s="54">
        <v>304892</v>
      </c>
      <c r="H62" s="54">
        <v>266832335</v>
      </c>
      <c r="I62" s="54">
        <v>161043847</v>
      </c>
      <c r="J62" s="35" t="str">
        <f>IF(Table1[[#This Row],[TOTAL OPERATING EXPENSES - 2015]]&gt;100000000,"yes","no")</f>
        <v>yes</v>
      </c>
      <c r="K62" s="63">
        <f>Table1[[#This Row],[Total enplanements - 2015]]/Table1[[Employees - 2015]:[Employees - 2015]]</f>
        <v>30172.104166666668</v>
      </c>
      <c r="L62" s="63">
        <f>Table1[[#This Row],[Annual aircraft operations - 2015]]/Table1[[Employees - 2015]:[Employees - 2015]]</f>
        <v>488.60897435897436</v>
      </c>
      <c r="M62" s="63">
        <f>Table1[[#This Row],[Total Non Aero Revenue]]/Table1[[Employees - 2015]:[Employees - 2015]]</f>
        <v>427615.921474359</v>
      </c>
      <c r="N62" s="63">
        <f>Table1[[#This Row],[Total Aero revenue - 2015]]/Table1[[Employees - 2015]:[Employees - 2015]]</f>
        <v>258083.08814102566</v>
      </c>
      <c r="O62" s="38">
        <f>Table1[[#This Row],[Total enplanements - 2015]]/Table1[[TOTAL OPERATING EXPENSES - 2015]:[TOTAL OPERATING EXPENSES - 2015]]</f>
        <v>7.9184270572981094E-2</v>
      </c>
      <c r="P62" s="38">
        <f>Table1[[#This Row],[Annual aircraft operations - 2015]]/Table1[[TOTAL OPERATING EXPENSES - 2015]:[TOTAL OPERATING EXPENSES - 2015]]</f>
        <v>1.2823151151907942E-3</v>
      </c>
      <c r="Q62">
        <f>Table1[[#This Row],[Total Non Aero Revenue]]/Table1[[TOTAL OPERATING EXPENSES - 2015]:[TOTAL OPERATING EXPENSES - 2015]]</f>
        <v>1.1222437334930191</v>
      </c>
      <c r="R62">
        <f>Table1[[#This Row],[Total Aero revenue - 2015]]/Table1[[TOTAL OPERATING EXPENSES - 2015]:[TOTAL OPERATING EXPENSES - 2015]]</f>
        <v>0.67731839214073719</v>
      </c>
    </row>
    <row r="63" spans="2:18" x14ac:dyDescent="0.2">
      <c r="B63" t="s">
        <v>175</v>
      </c>
      <c r="C63" s="22" t="s">
        <v>176</v>
      </c>
      <c r="D63" s="53">
        <v>1045</v>
      </c>
      <c r="E63" s="54">
        <v>271810046</v>
      </c>
      <c r="F63" s="53">
        <v>15312738</v>
      </c>
      <c r="G63" s="54">
        <v>487096</v>
      </c>
      <c r="H63" s="54">
        <v>126133472</v>
      </c>
      <c r="I63" s="54">
        <v>233357828</v>
      </c>
      <c r="J63" s="35" t="str">
        <f>IF(Table1[[#This Row],[TOTAL OPERATING EXPENSES - 2015]]&gt;100000000,"yes","no")</f>
        <v>yes</v>
      </c>
      <c r="K63" s="63">
        <f>Table1[[#This Row],[Total enplanements - 2015]]/Table1[[Employees - 2015]:[Employees - 2015]]</f>
        <v>14653.337799043062</v>
      </c>
      <c r="L63" s="63">
        <f>Table1[[#This Row],[Annual aircraft operations - 2015]]/Table1[[Employees - 2015]:[Employees - 2015]]</f>
        <v>466.12057416267942</v>
      </c>
      <c r="M63" s="63">
        <f>Table1[[#This Row],[Total Non Aero Revenue]]/Table1[[Employees - 2015]:[Employees - 2015]]</f>
        <v>120701.88708133971</v>
      </c>
      <c r="N63" s="63">
        <f>Table1[[#This Row],[Total Aero revenue - 2015]]/Table1[[Employees - 2015]:[Employees - 2015]]</f>
        <v>223308.92631578946</v>
      </c>
      <c r="O63" s="38">
        <f>Table1[[#This Row],[Total enplanements - 2015]]/Table1[[TOTAL OPERATING EXPENSES - 2015]:[TOTAL OPERATING EXPENSES - 2015]]</f>
        <v>5.6336173829277816E-2</v>
      </c>
      <c r="P63" s="38">
        <f>Table1[[#This Row],[Annual aircraft operations - 2015]]/Table1[[TOTAL OPERATING EXPENSES - 2015]:[TOTAL OPERATING EXPENSES - 2015]]</f>
        <v>1.7920456111471317E-3</v>
      </c>
      <c r="Q63">
        <f>Table1[[#This Row],[Total Non Aero Revenue]]/Table1[[TOTAL OPERATING EXPENSES - 2015]:[TOTAL OPERATING EXPENSES - 2015]]</f>
        <v>0.46405007414626609</v>
      </c>
      <c r="R63">
        <f>Table1[[#This Row],[Total Aero revenue - 2015]]/Table1[[TOTAL OPERATING EXPENSES - 2015]:[TOTAL OPERATING EXPENSES - 2015]]</f>
        <v>0.85853275636471504</v>
      </c>
    </row>
    <row r="64" spans="2:18" x14ac:dyDescent="0.2">
      <c r="B64" t="s">
        <v>177</v>
      </c>
      <c r="C64" s="22" t="s">
        <v>178</v>
      </c>
      <c r="D64" s="53">
        <v>827</v>
      </c>
      <c r="E64" s="54">
        <v>255649830</v>
      </c>
      <c r="F64" s="53">
        <v>21488569</v>
      </c>
      <c r="G64" s="54">
        <v>435937</v>
      </c>
      <c r="H64" s="54">
        <v>243387644</v>
      </c>
      <c r="I64" s="54">
        <v>137348133</v>
      </c>
      <c r="J64" s="35" t="str">
        <f>IF(Table1[[#This Row],[TOTAL OPERATING EXPENSES - 2015]]&gt;100000000,"yes","no")</f>
        <v>yes</v>
      </c>
      <c r="K64" s="63">
        <f>Table1[[#This Row],[Total enplanements - 2015]]/Table1[[Employees - 2015]:[Employees - 2015]]</f>
        <v>25983.75937122128</v>
      </c>
      <c r="L64" s="63">
        <f>Table1[[#This Row],[Annual aircraft operations - 2015]]/Table1[[Employees - 2015]:[Employees - 2015]]</f>
        <v>527.13059250302297</v>
      </c>
      <c r="M64" s="63">
        <f>Table1[[#This Row],[Total Non Aero Revenue]]/Table1[[Employees - 2015]:[Employees - 2015]]</f>
        <v>294301.86698911729</v>
      </c>
      <c r="N64" s="63">
        <f>Table1[[#This Row],[Total Aero revenue - 2015]]/Table1[[Employees - 2015]:[Employees - 2015]]</f>
        <v>166079.96735187425</v>
      </c>
      <c r="O64" s="38">
        <f>Table1[[#This Row],[Total enplanements - 2015]]/Table1[[TOTAL OPERATING EXPENSES - 2015]:[TOTAL OPERATING EXPENSES - 2015]]</f>
        <v>8.4054697004883591E-2</v>
      </c>
      <c r="P64" s="38">
        <f>Table1[[#This Row],[Annual aircraft operations - 2015]]/Table1[[TOTAL OPERATING EXPENSES - 2015]:[TOTAL OPERATING EXPENSES - 2015]]</f>
        <v>1.7052113823036769E-3</v>
      </c>
      <c r="Q64">
        <f>Table1[[#This Row],[Total Non Aero Revenue]]/Table1[[TOTAL OPERATING EXPENSES - 2015]:[TOTAL OPERATING EXPENSES - 2015]]</f>
        <v>0.95203522724814638</v>
      </c>
      <c r="R64">
        <f>Table1[[#This Row],[Total Aero revenue - 2015]]/Table1[[TOTAL OPERATING EXPENSES - 2015]:[TOTAL OPERATING EXPENSES - 2015]]</f>
        <v>0.53725102418413495</v>
      </c>
    </row>
    <row r="65" spans="2:18" x14ac:dyDescent="0.2">
      <c r="B65" t="s">
        <v>179</v>
      </c>
      <c r="C65" s="22" t="s">
        <v>180</v>
      </c>
      <c r="D65" s="53">
        <v>112</v>
      </c>
      <c r="E65" s="54">
        <v>12685880</v>
      </c>
      <c r="F65" s="53">
        <v>822773</v>
      </c>
      <c r="G65" s="54">
        <v>14769</v>
      </c>
      <c r="H65" s="54">
        <v>14948421</v>
      </c>
      <c r="I65" s="54">
        <v>11585196</v>
      </c>
      <c r="J65" s="35" t="str">
        <f>IF(Table1[[#This Row],[TOTAL OPERATING EXPENSES - 2015]]&gt;100000000,"yes","no")</f>
        <v>no</v>
      </c>
      <c r="K65" s="63">
        <f>Table1[[#This Row],[Total enplanements - 2015]]/Table1[[Employees - 2015]:[Employees - 2015]]</f>
        <v>7346.1875</v>
      </c>
      <c r="L65" s="63">
        <f>Table1[[#This Row],[Annual aircraft operations - 2015]]/Table1[[Employees - 2015]:[Employees - 2015]]</f>
        <v>131.86607142857142</v>
      </c>
      <c r="M65" s="63">
        <f>Table1[[#This Row],[Total Non Aero Revenue]]/Table1[[Employees - 2015]:[Employees - 2015]]</f>
        <v>133468.04464285713</v>
      </c>
      <c r="N65" s="63">
        <f>Table1[[#This Row],[Total Aero revenue - 2015]]/Table1[[Employees - 2015]:[Employees - 2015]]</f>
        <v>103439.25</v>
      </c>
      <c r="O65" s="38">
        <f>Table1[[#This Row],[Total enplanements - 2015]]/Table1[[TOTAL OPERATING EXPENSES - 2015]:[TOTAL OPERATING EXPENSES - 2015]]</f>
        <v>6.4857384745874935E-2</v>
      </c>
      <c r="P65" s="38">
        <f>Table1[[#This Row],[Annual aircraft operations - 2015]]/Table1[[TOTAL OPERATING EXPENSES - 2015]:[TOTAL OPERATING EXPENSES - 2015]]</f>
        <v>1.1642077648535221E-3</v>
      </c>
      <c r="Q65">
        <f>Table1[[#This Row],[Total Non Aero Revenue]]/Table1[[TOTAL OPERATING EXPENSES - 2015]:[TOTAL OPERATING EXPENSES - 2015]]</f>
        <v>1.1783511273951828</v>
      </c>
      <c r="R65">
        <f>Table1[[#This Row],[Total Aero revenue - 2015]]/Table1[[TOTAL OPERATING EXPENSES - 2015]:[TOTAL OPERATING EXPENSES - 2015]]</f>
        <v>0.91323550277946819</v>
      </c>
    </row>
    <row r="66" spans="2:18" x14ac:dyDescent="0.2">
      <c r="B66" t="s">
        <v>181</v>
      </c>
      <c r="C66" s="22" t="s">
        <v>182</v>
      </c>
      <c r="D66" s="53">
        <v>445</v>
      </c>
      <c r="E66" s="54">
        <v>93876811</v>
      </c>
      <c r="F66" s="53">
        <v>4053880</v>
      </c>
      <c r="G66" s="54">
        <v>141674</v>
      </c>
      <c r="H66" s="54">
        <v>55942880</v>
      </c>
      <c r="I66" s="54">
        <v>78661540</v>
      </c>
      <c r="J66" s="35" t="str">
        <f>IF(Table1[[#This Row],[TOTAL OPERATING EXPENSES - 2015]]&gt;100000000,"yes","no")</f>
        <v>no</v>
      </c>
      <c r="K66" s="63">
        <f>Table1[[#This Row],[Total enplanements - 2015]]/Table1[[Employees - 2015]:[Employees - 2015]]</f>
        <v>9109.8426966292136</v>
      </c>
      <c r="L66" s="63">
        <f>Table1[[#This Row],[Annual aircraft operations - 2015]]/Table1[[Employees - 2015]:[Employees - 2015]]</f>
        <v>318.36853932584268</v>
      </c>
      <c r="M66" s="63">
        <f>Table1[[#This Row],[Total Non Aero Revenue]]/Table1[[Employees - 2015]:[Employees - 2015]]</f>
        <v>125714.33707865169</v>
      </c>
      <c r="N66" s="63">
        <f>Table1[[#This Row],[Total Aero revenue - 2015]]/Table1[[Employees - 2015]:[Employees - 2015]]</f>
        <v>176767.50561797753</v>
      </c>
      <c r="O66" s="38">
        <f>Table1[[#This Row],[Total enplanements - 2015]]/Table1[[TOTAL OPERATING EXPENSES - 2015]:[TOTAL OPERATING EXPENSES - 2015]]</f>
        <v>4.3182975186492008E-2</v>
      </c>
      <c r="P66" s="38">
        <f>Table1[[#This Row],[Annual aircraft operations - 2015]]/Table1[[TOTAL OPERATING EXPENSES - 2015]:[TOTAL OPERATING EXPENSES - 2015]]</f>
        <v>1.5091479833076137E-3</v>
      </c>
      <c r="Q66">
        <f>Table1[[#This Row],[Total Non Aero Revenue]]/Table1[[TOTAL OPERATING EXPENSES - 2015]:[TOTAL OPERATING EXPENSES - 2015]]</f>
        <v>0.5959179844743554</v>
      </c>
      <c r="R66">
        <f>Table1[[#This Row],[Total Aero revenue - 2015]]/Table1[[TOTAL OPERATING EXPENSES - 2015]:[TOTAL OPERATING EXPENSES - 2015]]</f>
        <v>0.83792300954918464</v>
      </c>
    </row>
    <row r="67" spans="2:18" x14ac:dyDescent="0.2">
      <c r="B67" t="s">
        <v>183</v>
      </c>
      <c r="C67" s="22" t="s">
        <v>184</v>
      </c>
      <c r="D67" s="53">
        <v>319</v>
      </c>
      <c r="E67" s="54">
        <v>57376864</v>
      </c>
      <c r="F67" s="53">
        <v>3415246</v>
      </c>
      <c r="G67" s="54">
        <v>159211</v>
      </c>
      <c r="H67" s="54">
        <v>55197236</v>
      </c>
      <c r="I67" s="54">
        <v>28909060</v>
      </c>
      <c r="J67" s="35" t="str">
        <f>IF(Table1[[#This Row],[TOTAL OPERATING EXPENSES - 2015]]&gt;100000000,"yes","no")</f>
        <v>no</v>
      </c>
      <c r="K67" s="63">
        <f>Table1[[#This Row],[Total enplanements - 2015]]/Table1[[Employees - 2015]:[Employees - 2015]]</f>
        <v>10706.100313479625</v>
      </c>
      <c r="L67" s="63">
        <f>Table1[[#This Row],[Annual aircraft operations - 2015]]/Table1[[Employees - 2015]:[Employees - 2015]]</f>
        <v>499.09404388714734</v>
      </c>
      <c r="M67" s="63">
        <f>Table1[[#This Row],[Total Non Aero Revenue]]/Table1[[Employees - 2015]:[Employees - 2015]]</f>
        <v>173032.08777429466</v>
      </c>
      <c r="N67" s="63">
        <f>Table1[[#This Row],[Total Aero revenue - 2015]]/Table1[[Employees - 2015]:[Employees - 2015]]</f>
        <v>90624.012539184958</v>
      </c>
      <c r="O67" s="38">
        <f>Table1[[#This Row],[Total enplanements - 2015]]/Table1[[TOTAL OPERATING EXPENSES - 2015]:[TOTAL OPERATING EXPENSES - 2015]]</f>
        <v>5.9523050963538195E-2</v>
      </c>
      <c r="P67" s="38">
        <f>Table1[[#This Row],[Annual aircraft operations - 2015]]/Table1[[TOTAL OPERATING EXPENSES - 2015]:[TOTAL OPERATING EXPENSES - 2015]]</f>
        <v>2.7748292412774597E-3</v>
      </c>
      <c r="Q67">
        <f>Table1[[#This Row],[Total Non Aero Revenue]]/Table1[[TOTAL OPERATING EXPENSES - 2015]:[TOTAL OPERATING EXPENSES - 2015]]</f>
        <v>0.96201207511097153</v>
      </c>
      <c r="R67">
        <f>Table1[[#This Row],[Total Aero revenue - 2015]]/Table1[[TOTAL OPERATING EXPENSES - 2015]:[TOTAL OPERATING EXPENSES - 2015]]</f>
        <v>0.50384524326739089</v>
      </c>
    </row>
    <row r="68" spans="2:18" x14ac:dyDescent="0.2">
      <c r="B68" t="s">
        <v>185</v>
      </c>
      <c r="C68" s="22" t="s">
        <v>186</v>
      </c>
      <c r="D68" s="53">
        <v>365</v>
      </c>
      <c r="E68" s="54">
        <v>99159243</v>
      </c>
      <c r="F68" s="53">
        <v>8058757</v>
      </c>
      <c r="G68" s="54">
        <v>209327</v>
      </c>
      <c r="H68" s="54">
        <v>104192725</v>
      </c>
      <c r="I68" s="54">
        <v>101721298</v>
      </c>
      <c r="J68" s="35" t="str">
        <f>IF(Table1[[#This Row],[TOTAL OPERATING EXPENSES - 2015]]&gt;100000000,"yes","no")</f>
        <v>no</v>
      </c>
      <c r="K68" s="63">
        <f>Table1[[#This Row],[Total enplanements - 2015]]/Table1[[Employees - 2015]:[Employees - 2015]]</f>
        <v>22078.786301369862</v>
      </c>
      <c r="L68" s="63">
        <f>Table1[[#This Row],[Annual aircraft operations - 2015]]/Table1[[Employees - 2015]:[Employees - 2015]]</f>
        <v>573.49863013698632</v>
      </c>
      <c r="M68" s="63">
        <f>Table1[[#This Row],[Total Non Aero Revenue]]/Table1[[Employees - 2015]:[Employees - 2015]]</f>
        <v>285459.52054794523</v>
      </c>
      <c r="N68" s="63">
        <f>Table1[[#This Row],[Total Aero revenue - 2015]]/Table1[[Employees - 2015]:[Employees - 2015]]</f>
        <v>278688.4876712329</v>
      </c>
      <c r="O68" s="38">
        <f>Table1[[#This Row],[Total enplanements - 2015]]/Table1[[TOTAL OPERATING EXPENSES - 2015]:[TOTAL OPERATING EXPENSES - 2015]]</f>
        <v>8.1270860448178286E-2</v>
      </c>
      <c r="P68" s="38">
        <f>Table1[[#This Row],[Annual aircraft operations - 2015]]/Table1[[TOTAL OPERATING EXPENSES - 2015]:[TOTAL OPERATING EXPENSES - 2015]]</f>
        <v>2.1110185361136731E-3</v>
      </c>
      <c r="Q68">
        <f>Table1[[#This Row],[Total Non Aero Revenue]]/Table1[[TOTAL OPERATING EXPENSES - 2015]:[TOTAL OPERATING EXPENSES - 2015]]</f>
        <v>1.0507616017197712</v>
      </c>
      <c r="R68">
        <f>Table1[[#This Row],[Total Aero revenue - 2015]]/Table1[[TOTAL OPERATING EXPENSES - 2015]:[TOTAL OPERATING EXPENSES - 2015]]</f>
        <v>1.0258377829689562</v>
      </c>
    </row>
    <row r="69" spans="2:18" x14ac:dyDescent="0.2">
      <c r="B69" t="s">
        <v>187</v>
      </c>
      <c r="C69" s="22" t="s">
        <v>188</v>
      </c>
      <c r="D69" s="53">
        <v>287</v>
      </c>
      <c r="E69" s="54">
        <v>53607399</v>
      </c>
      <c r="F69" s="53">
        <v>4805103</v>
      </c>
      <c r="G69" s="54">
        <v>182013</v>
      </c>
      <c r="H69" s="54">
        <v>67735026</v>
      </c>
      <c r="I69" s="54">
        <v>40188721</v>
      </c>
      <c r="J69" s="35" t="str">
        <f>IF(Table1[[#This Row],[TOTAL OPERATING EXPENSES - 2015]]&gt;100000000,"yes","no")</f>
        <v>no</v>
      </c>
      <c r="K69" s="63">
        <f>Table1[[#This Row],[Total enplanements - 2015]]/Table1[[Employees - 2015]:[Employees - 2015]]</f>
        <v>16742.519163763067</v>
      </c>
      <c r="L69" s="63">
        <f>Table1[[#This Row],[Annual aircraft operations - 2015]]/Table1[[Employees - 2015]:[Employees - 2015]]</f>
        <v>634.19163763066206</v>
      </c>
      <c r="M69" s="63">
        <f>Table1[[#This Row],[Total Non Aero Revenue]]/Table1[[Employees - 2015]:[Employees - 2015]]</f>
        <v>236010.54355400696</v>
      </c>
      <c r="N69" s="63">
        <f>Table1[[#This Row],[Total Aero revenue - 2015]]/Table1[[Employees - 2015]:[Employees - 2015]]</f>
        <v>140030.38675958189</v>
      </c>
      <c r="O69" s="38">
        <f>Table1[[#This Row],[Total enplanements - 2015]]/Table1[[TOTAL OPERATING EXPENSES - 2015]:[TOTAL OPERATING EXPENSES - 2015]]</f>
        <v>8.9635070711041209E-2</v>
      </c>
      <c r="P69" s="38">
        <f>Table1[[#This Row],[Annual aircraft operations - 2015]]/Table1[[TOTAL OPERATING EXPENSES - 2015]:[TOTAL OPERATING EXPENSES - 2015]]</f>
        <v>3.395296235133512E-3</v>
      </c>
      <c r="Q69">
        <f>Table1[[#This Row],[Total Non Aero Revenue]]/Table1[[TOTAL OPERATING EXPENSES - 2015]:[TOTAL OPERATING EXPENSES - 2015]]</f>
        <v>1.2635387514324281</v>
      </c>
      <c r="R69">
        <f>Table1[[#This Row],[Total Aero revenue - 2015]]/Table1[[TOTAL OPERATING EXPENSES - 2015]:[TOTAL OPERATING EXPENSES - 2015]]</f>
        <v>0.74968608344530951</v>
      </c>
    </row>
    <row r="70" spans="2:18" x14ac:dyDescent="0.2">
      <c r="B70" t="s">
        <v>189</v>
      </c>
      <c r="C70" s="22" t="s">
        <v>190</v>
      </c>
      <c r="D70" s="53">
        <v>270</v>
      </c>
      <c r="E70" s="54">
        <v>34875855</v>
      </c>
      <c r="F70" s="53">
        <v>1656293</v>
      </c>
      <c r="G70" s="54">
        <v>36122</v>
      </c>
      <c r="H70" s="54">
        <v>25099279</v>
      </c>
      <c r="I70" s="54">
        <v>18508870</v>
      </c>
      <c r="J70" s="35" t="str">
        <f>IF(Table1[[#This Row],[TOTAL OPERATING EXPENSES - 2015]]&gt;100000000,"yes","no")</f>
        <v>no</v>
      </c>
      <c r="K70" s="63">
        <f>Table1[[#This Row],[Total enplanements - 2015]]/Table1[[Employees - 2015]:[Employees - 2015]]</f>
        <v>6134.4185185185188</v>
      </c>
      <c r="L70" s="63">
        <f>Table1[[#This Row],[Annual aircraft operations - 2015]]/Table1[[Employees - 2015]:[Employees - 2015]]</f>
        <v>133.78518518518518</v>
      </c>
      <c r="M70" s="63">
        <f>Table1[[#This Row],[Total Non Aero Revenue]]/Table1[[Employees - 2015]:[Employees - 2015]]</f>
        <v>92960.292592592596</v>
      </c>
      <c r="N70" s="63">
        <f>Table1[[#This Row],[Total Aero revenue - 2015]]/Table1[[Employees - 2015]:[Employees - 2015]]</f>
        <v>68551.370370370365</v>
      </c>
      <c r="O70" s="38">
        <f>Table1[[#This Row],[Total enplanements - 2015]]/Table1[[TOTAL OPERATING EXPENSES - 2015]:[TOTAL OPERATING EXPENSES - 2015]]</f>
        <v>4.7491108103299547E-2</v>
      </c>
      <c r="P70" s="38">
        <f>Table1[[#This Row],[Annual aircraft operations - 2015]]/Table1[[TOTAL OPERATING EXPENSES - 2015]:[TOTAL OPERATING EXPENSES - 2015]]</f>
        <v>1.0357308802895298E-3</v>
      </c>
      <c r="Q70">
        <f>Table1[[#This Row],[Total Non Aero Revenue]]/Table1[[TOTAL OPERATING EXPENSES - 2015]:[TOTAL OPERATING EXPENSES - 2015]]</f>
        <v>0.71967494416982747</v>
      </c>
      <c r="R70">
        <f>Table1[[#This Row],[Total Aero revenue - 2015]]/Table1[[TOTAL OPERATING EXPENSES - 2015]:[TOTAL OPERATING EXPENSES - 2015]]</f>
        <v>0.5307072758502982</v>
      </c>
    </row>
    <row r="71" spans="2:18" x14ac:dyDescent="0.2">
      <c r="B71" t="s">
        <v>191</v>
      </c>
      <c r="C71" s="22" t="s">
        <v>192</v>
      </c>
      <c r="D71" s="53">
        <v>166</v>
      </c>
      <c r="E71" s="54">
        <v>21574347</v>
      </c>
      <c r="F71" s="53">
        <v>1718711</v>
      </c>
      <c r="G71" s="54">
        <v>102000</v>
      </c>
      <c r="H71" s="54">
        <v>29771783</v>
      </c>
      <c r="I71" s="54">
        <v>13310493</v>
      </c>
      <c r="J71" s="35" t="str">
        <f>IF(Table1[[#This Row],[TOTAL OPERATING EXPENSES - 2015]]&gt;100000000,"yes","no")</f>
        <v>no</v>
      </c>
      <c r="K71" s="63">
        <f>Table1[[#This Row],[Total enplanements - 2015]]/Table1[[Employees - 2015]:[Employees - 2015]]</f>
        <v>10353.680722891566</v>
      </c>
      <c r="L71" s="63">
        <f>Table1[[#This Row],[Annual aircraft operations - 2015]]/Table1[[Employees - 2015]:[Employees - 2015]]</f>
        <v>614.45783132530119</v>
      </c>
      <c r="M71" s="63">
        <f>Table1[[#This Row],[Total Non Aero Revenue]]/Table1[[Employees - 2015]:[Employees - 2015]]</f>
        <v>179348.09036144579</v>
      </c>
      <c r="N71" s="63">
        <f>Table1[[#This Row],[Total Aero revenue - 2015]]/Table1[[Employees - 2015]:[Employees - 2015]]</f>
        <v>80183.69277108433</v>
      </c>
      <c r="O71" s="38">
        <f>Table1[[#This Row],[Total enplanements - 2015]]/Table1[[TOTAL OPERATING EXPENSES - 2015]:[TOTAL OPERATING EXPENSES - 2015]]</f>
        <v>7.9664566440875356E-2</v>
      </c>
      <c r="P71" s="38">
        <f>Table1[[#This Row],[Annual aircraft operations - 2015]]/Table1[[TOTAL OPERATING EXPENSES - 2015]:[TOTAL OPERATING EXPENSES - 2015]]</f>
        <v>4.727837185524086E-3</v>
      </c>
      <c r="Q71">
        <f>Table1[[#This Row],[Total Non Aero Revenue]]/Table1[[TOTAL OPERATING EXPENSES - 2015]:[TOTAL OPERATING EXPENSES - 2015]]</f>
        <v>1.3799621837917042</v>
      </c>
      <c r="R71">
        <f>Table1[[#This Row],[Total Aero revenue - 2015]]/Table1[[TOTAL OPERATING EXPENSES - 2015]:[TOTAL OPERATING EXPENSES - 2015]]</f>
        <v>0.61695925257900042</v>
      </c>
    </row>
    <row r="72" spans="2:18" x14ac:dyDescent="0.2">
      <c r="B72" t="s">
        <v>193</v>
      </c>
      <c r="C72" s="22" t="s">
        <v>194</v>
      </c>
      <c r="D72" s="53">
        <v>633</v>
      </c>
      <c r="E72" s="54">
        <v>164795830</v>
      </c>
      <c r="F72" s="53">
        <v>11495977</v>
      </c>
      <c r="G72" s="54">
        <v>292781</v>
      </c>
      <c r="H72" s="54">
        <v>130001210</v>
      </c>
      <c r="I72" s="54">
        <v>157359887</v>
      </c>
      <c r="J72" s="35" t="str">
        <f>IF(Table1[[#This Row],[TOTAL OPERATING EXPENSES - 2015]]&gt;100000000,"yes","no")</f>
        <v>yes</v>
      </c>
      <c r="K72" s="63">
        <f>Table1[[#This Row],[Total enplanements - 2015]]/Table1[[Employees - 2015]:[Employees - 2015]]</f>
        <v>18161.10110584518</v>
      </c>
      <c r="L72" s="63">
        <f>Table1[[#This Row],[Annual aircraft operations - 2015]]/Table1[[Employees - 2015]:[Employees - 2015]]</f>
        <v>462.52922590837284</v>
      </c>
      <c r="M72" s="63">
        <f>Table1[[#This Row],[Total Non Aero Revenue]]/Table1[[Employees - 2015]:[Employees - 2015]]</f>
        <v>205373.15955766191</v>
      </c>
      <c r="N72" s="63">
        <f>Table1[[#This Row],[Total Aero revenue - 2015]]/Table1[[Employees - 2015]:[Employees - 2015]]</f>
        <v>248593.81832543443</v>
      </c>
      <c r="O72" s="38">
        <f>Table1[[#This Row],[Total enplanements - 2015]]/Table1[[TOTAL OPERATING EXPENSES - 2015]:[TOTAL OPERATING EXPENSES - 2015]]</f>
        <v>6.9758907127686426E-2</v>
      </c>
      <c r="P72" s="38">
        <f>Table1[[#This Row],[Annual aircraft operations - 2015]]/Table1[[TOTAL OPERATING EXPENSES - 2015]:[TOTAL OPERATING EXPENSES - 2015]]</f>
        <v>1.7766286926070884E-3</v>
      </c>
      <c r="Q72">
        <f>Table1[[#This Row],[Total Non Aero Revenue]]/Table1[[TOTAL OPERATING EXPENSES - 2015]:[TOTAL OPERATING EXPENSES - 2015]]</f>
        <v>0.78886225458496129</v>
      </c>
      <c r="R72">
        <f>Table1[[#This Row],[Total Aero revenue - 2015]]/Table1[[TOTAL OPERATING EXPENSES - 2015]:[TOTAL OPERATING EXPENSES - 2015]]</f>
        <v>0.95487784490663385</v>
      </c>
    </row>
    <row r="73" spans="2:18" x14ac:dyDescent="0.2">
      <c r="B73" t="s">
        <v>195</v>
      </c>
      <c r="C73" s="22" t="s">
        <v>196</v>
      </c>
      <c r="D73" s="53">
        <v>314</v>
      </c>
      <c r="E73" s="54">
        <v>79647202</v>
      </c>
      <c r="F73" s="53">
        <v>4628597</v>
      </c>
      <c r="G73" s="54">
        <v>285140</v>
      </c>
      <c r="H73" s="54">
        <v>80092799</v>
      </c>
      <c r="I73" s="54">
        <v>78346563</v>
      </c>
      <c r="J73" s="35" t="str">
        <f>IF(Table1[[#This Row],[TOTAL OPERATING EXPENSES - 2015]]&gt;100000000,"yes","no")</f>
        <v>no</v>
      </c>
      <c r="K73" s="63">
        <f>Table1[[#This Row],[Total enplanements - 2015]]/Table1[[Employees - 2015]:[Employees - 2015]]</f>
        <v>14740.754777070064</v>
      </c>
      <c r="L73" s="63">
        <f>Table1[[#This Row],[Annual aircraft operations - 2015]]/Table1[[Employees - 2015]:[Employees - 2015]]</f>
        <v>908.08917197452229</v>
      </c>
      <c r="M73" s="63">
        <f>Table1[[#This Row],[Total Non Aero Revenue]]/Table1[[Employees - 2015]:[Employees - 2015]]</f>
        <v>255072.60828025479</v>
      </c>
      <c r="N73" s="63">
        <f>Table1[[#This Row],[Total Aero revenue - 2015]]/Table1[[Employees - 2015]:[Employees - 2015]]</f>
        <v>249511.34713375795</v>
      </c>
      <c r="O73" s="38">
        <f>Table1[[#This Row],[Total enplanements - 2015]]/Table1[[TOTAL OPERATING EXPENSES - 2015]:[TOTAL OPERATING EXPENSES - 2015]]</f>
        <v>5.8113742652252866E-2</v>
      </c>
      <c r="P73" s="38">
        <f>Table1[[#This Row],[Annual aircraft operations - 2015]]/Table1[[TOTAL OPERATING EXPENSES - 2015]:[TOTAL OPERATING EXPENSES - 2015]]</f>
        <v>3.5800378775390001E-3</v>
      </c>
      <c r="Q73">
        <f>Table1[[#This Row],[Total Non Aero Revenue]]/Table1[[TOTAL OPERATING EXPENSES - 2015]:[TOTAL OPERATING EXPENSES - 2015]]</f>
        <v>1.0055946346991573</v>
      </c>
      <c r="R73">
        <f>Table1[[#This Row],[Total Aero revenue - 2015]]/Table1[[TOTAL OPERATING EXPENSES - 2015]:[TOTAL OPERATING EXPENSES - 2015]]</f>
        <v>0.98366999759765572</v>
      </c>
    </row>
    <row r="74" spans="2:18" x14ac:dyDescent="0.2">
      <c r="B74" t="s">
        <v>197</v>
      </c>
      <c r="C74" s="22" t="s">
        <v>198</v>
      </c>
      <c r="D74" s="53">
        <v>506</v>
      </c>
      <c r="E74" s="54">
        <v>76208683</v>
      </c>
      <c r="F74" s="53">
        <v>10833708</v>
      </c>
      <c r="G74" s="54">
        <v>319994</v>
      </c>
      <c r="H74" s="54">
        <v>80368137</v>
      </c>
      <c r="I74" s="54">
        <v>51901975</v>
      </c>
      <c r="J74" s="35" t="str">
        <f>IF(Table1[[#This Row],[TOTAL OPERATING EXPENSES - 2015]]&gt;100000000,"yes","no")</f>
        <v>no</v>
      </c>
      <c r="K74" s="63">
        <f>Table1[[#This Row],[Total enplanements - 2015]]/Table1[[Employees - 2015]:[Employees - 2015]]</f>
        <v>21410.490118577076</v>
      </c>
      <c r="L74" s="63">
        <f>Table1[[#This Row],[Annual aircraft operations - 2015]]/Table1[[Employees - 2015]:[Employees - 2015]]</f>
        <v>632.399209486166</v>
      </c>
      <c r="M74" s="63">
        <f>Table1[[#This Row],[Total Non Aero Revenue]]/Table1[[Employees - 2015]:[Employees - 2015]]</f>
        <v>158830.31027667984</v>
      </c>
      <c r="N74" s="63">
        <f>Table1[[#This Row],[Total Aero revenue - 2015]]/Table1[[Employees - 2015]:[Employees - 2015]]</f>
        <v>102573.07312252965</v>
      </c>
      <c r="O74" s="38">
        <f>Table1[[#This Row],[Total enplanements - 2015]]/Table1[[TOTAL OPERATING EXPENSES - 2015]:[TOTAL OPERATING EXPENSES - 2015]]</f>
        <v>0.14215844669563441</v>
      </c>
      <c r="P74" s="38">
        <f>Table1[[#This Row],[Annual aircraft operations - 2015]]/Table1[[TOTAL OPERATING EXPENSES - 2015]:[TOTAL OPERATING EXPENSES - 2015]]</f>
        <v>4.1989178582183349E-3</v>
      </c>
      <c r="Q74">
        <f>Table1[[#This Row],[Total Non Aero Revenue]]/Table1[[TOTAL OPERATING EXPENSES - 2015]:[TOTAL OPERATING EXPENSES - 2015]]</f>
        <v>1.0545797911243264</v>
      </c>
      <c r="R74">
        <f>Table1[[#This Row],[Total Aero revenue - 2015]]/Table1[[TOTAL OPERATING EXPENSES - 2015]:[TOTAL OPERATING EXPENSES - 2015]]</f>
        <v>0.68105067502609906</v>
      </c>
    </row>
    <row r="75" spans="2:18" x14ac:dyDescent="0.2">
      <c r="B75" t="s">
        <v>199</v>
      </c>
      <c r="C75" s="22" t="s">
        <v>200</v>
      </c>
      <c r="D75" s="53">
        <v>417</v>
      </c>
      <c r="E75" s="54">
        <v>55141847</v>
      </c>
      <c r="F75" s="53">
        <v>4212019</v>
      </c>
      <c r="G75" s="54">
        <v>265995</v>
      </c>
      <c r="H75" s="54">
        <v>58805803</v>
      </c>
      <c r="I75" s="54">
        <v>34627377</v>
      </c>
      <c r="J75" s="35" t="str">
        <f>IF(Table1[[#This Row],[TOTAL OPERATING EXPENSES - 2015]]&gt;100000000,"yes","no")</f>
        <v>no</v>
      </c>
      <c r="K75" s="63">
        <f>Table1[[#This Row],[Total enplanements - 2015]]/Table1[[Employees - 2015]:[Employees - 2015]]</f>
        <v>10100.764988009592</v>
      </c>
      <c r="L75" s="63">
        <f>Table1[[#This Row],[Annual aircraft operations - 2015]]/Table1[[Employees - 2015]:[Employees - 2015]]</f>
        <v>637.87769784172667</v>
      </c>
      <c r="M75" s="63">
        <f>Table1[[#This Row],[Total Non Aero Revenue]]/Table1[[Employees - 2015]:[Employees - 2015]]</f>
        <v>141021.11031175061</v>
      </c>
      <c r="N75" s="63">
        <f>Table1[[#This Row],[Total Aero revenue - 2015]]/Table1[[Employees - 2015]:[Employees - 2015]]</f>
        <v>83039.273381294959</v>
      </c>
      <c r="O75" s="38">
        <f>Table1[[#This Row],[Total enplanements - 2015]]/Table1[[TOTAL OPERATING EXPENSES - 2015]:[TOTAL OPERATING EXPENSES - 2015]]</f>
        <v>7.638516352199809E-2</v>
      </c>
      <c r="P75" s="38">
        <f>Table1[[#This Row],[Annual aircraft operations - 2015]]/Table1[[TOTAL OPERATING EXPENSES - 2015]:[TOTAL OPERATING EXPENSES - 2015]]</f>
        <v>4.8238318894178499E-3</v>
      </c>
      <c r="Q75">
        <f>Table1[[#This Row],[Total Non Aero Revenue]]/Table1[[TOTAL OPERATING EXPENSES - 2015]:[TOTAL OPERATING EXPENSES - 2015]]</f>
        <v>1.0664460151289454</v>
      </c>
      <c r="R75">
        <f>Table1[[#This Row],[Total Aero revenue - 2015]]/Table1[[TOTAL OPERATING EXPENSES - 2015]:[TOTAL OPERATING EXPENSES - 2015]]</f>
        <v>0.62796911753790186</v>
      </c>
    </row>
    <row r="76" spans="2:18" x14ac:dyDescent="0.2">
      <c r="B76" t="s">
        <v>201</v>
      </c>
      <c r="C76" s="22" t="s">
        <v>202</v>
      </c>
      <c r="D76" s="53">
        <v>380</v>
      </c>
      <c r="E76" s="54">
        <v>140249881</v>
      </c>
      <c r="F76" s="53">
        <v>9713066</v>
      </c>
      <c r="G76" s="54">
        <v>195268</v>
      </c>
      <c r="H76" s="54">
        <v>96422734</v>
      </c>
      <c r="I76" s="54">
        <v>114082513</v>
      </c>
      <c r="J76" s="35" t="str">
        <f>IF(Table1[[#This Row],[TOTAL OPERATING EXPENSES - 2015]]&gt;100000000,"yes","no")</f>
        <v>yes</v>
      </c>
      <c r="K76" s="63">
        <f>Table1[[#This Row],[Total enplanements - 2015]]/Table1[[Employees - 2015]:[Employees - 2015]]</f>
        <v>25560.7</v>
      </c>
      <c r="L76" s="63">
        <f>Table1[[#This Row],[Annual aircraft operations - 2015]]/Table1[[Employees - 2015]:[Employees - 2015]]</f>
        <v>513.86315789473679</v>
      </c>
      <c r="M76" s="63">
        <f>Table1[[#This Row],[Total Non Aero Revenue]]/Table1[[Employees - 2015]:[Employees - 2015]]</f>
        <v>253744.03684210527</v>
      </c>
      <c r="N76" s="63">
        <f>Table1[[#This Row],[Total Aero revenue - 2015]]/Table1[[Employees - 2015]:[Employees - 2015]]</f>
        <v>300217.13947368419</v>
      </c>
      <c r="O76" s="38">
        <f>Table1[[#This Row],[Total enplanements - 2015]]/Table1[[TOTAL OPERATING EXPENSES - 2015]:[TOTAL OPERATING EXPENSES - 2015]]</f>
        <v>6.925543131120375E-2</v>
      </c>
      <c r="P76" s="38">
        <f>Table1[[#This Row],[Annual aircraft operations - 2015]]/Table1[[TOTAL OPERATING EXPENSES - 2015]:[TOTAL OPERATING EXPENSES - 2015]]</f>
        <v>1.3922863863249908E-3</v>
      </c>
      <c r="Q76">
        <f>Table1[[#This Row],[Total Non Aero Revenue]]/Table1[[TOTAL OPERATING EXPENSES - 2015]:[TOTAL OPERATING EXPENSES - 2015]]</f>
        <v>0.68750670811620862</v>
      </c>
      <c r="R76">
        <f>Table1[[#This Row],[Total Aero revenue - 2015]]/Table1[[TOTAL OPERATING EXPENSES - 2015]:[TOTAL OPERATING EXPENSES - 2015]]</f>
        <v>0.81342324276196709</v>
      </c>
    </row>
    <row r="77" spans="2:18" x14ac:dyDescent="0.2">
      <c r="B77" t="s">
        <v>203</v>
      </c>
      <c r="C77" s="22" t="s">
        <v>204</v>
      </c>
      <c r="D77" s="53">
        <v>1415</v>
      </c>
      <c r="E77" s="54">
        <v>392882361</v>
      </c>
      <c r="F77" s="53">
        <v>24023599</v>
      </c>
      <c r="G77" s="54">
        <v>428171</v>
      </c>
      <c r="H77" s="54">
        <v>356136299</v>
      </c>
      <c r="I77" s="54">
        <v>459227411</v>
      </c>
      <c r="J77" s="35" t="str">
        <f>IF(Table1[[#This Row],[TOTAL OPERATING EXPENSES - 2015]]&gt;100000000,"yes","no")</f>
        <v>yes</v>
      </c>
      <c r="K77" s="63">
        <f>Table1[[#This Row],[Total enplanements - 2015]]/Table1[[Employees - 2015]:[Employees - 2015]]</f>
        <v>16977.808480565371</v>
      </c>
      <c r="L77" s="63">
        <f>Table1[[#This Row],[Annual aircraft operations - 2015]]/Table1[[Employees - 2015]:[Employees - 2015]]</f>
        <v>302.59434628975265</v>
      </c>
      <c r="M77" s="63">
        <f>Table1[[#This Row],[Total Non Aero Revenue]]/Table1[[Employees - 2015]:[Employees - 2015]]</f>
        <v>251686.43038869259</v>
      </c>
      <c r="N77" s="63">
        <f>Table1[[#This Row],[Total Aero revenue - 2015]]/Table1[[Employees - 2015]:[Employees - 2015]]</f>
        <v>324542.33992932865</v>
      </c>
      <c r="O77" s="38">
        <f>Table1[[#This Row],[Total enplanements - 2015]]/Table1[[TOTAL OPERATING EXPENSES - 2015]:[TOTAL OPERATING EXPENSES - 2015]]</f>
        <v>6.1147054143262998E-2</v>
      </c>
      <c r="P77" s="38">
        <f>Table1[[#This Row],[Annual aircraft operations - 2015]]/Table1[[TOTAL OPERATING EXPENSES - 2015]:[TOTAL OPERATING EXPENSES - 2015]]</f>
        <v>1.0898198608616078E-3</v>
      </c>
      <c r="Q77">
        <f>Table1[[#This Row],[Total Non Aero Revenue]]/Table1[[TOTAL OPERATING EXPENSES - 2015]:[TOTAL OPERATING EXPENSES - 2015]]</f>
        <v>0.90647057326149594</v>
      </c>
      <c r="R77">
        <f>Table1[[#This Row],[Total Aero revenue - 2015]]/Table1[[TOTAL OPERATING EXPENSES - 2015]:[TOTAL OPERATING EXPENSES - 2015]]</f>
        <v>1.1688674692117318</v>
      </c>
    </row>
    <row r="78" spans="2:18" x14ac:dyDescent="0.2">
      <c r="B78" t="s">
        <v>205</v>
      </c>
      <c r="C78" s="22" t="s">
        <v>206</v>
      </c>
      <c r="D78" s="53">
        <v>187</v>
      </c>
      <c r="E78" s="54">
        <v>71171800</v>
      </c>
      <c r="F78" s="53">
        <v>4765001</v>
      </c>
      <c r="G78" s="54">
        <v>127417</v>
      </c>
      <c r="H78" s="54">
        <v>82245827</v>
      </c>
      <c r="I78" s="54">
        <v>62874597</v>
      </c>
      <c r="J78" s="35" t="str">
        <f>IF(Table1[[#This Row],[TOTAL OPERATING EXPENSES - 2015]]&gt;100000000,"yes","no")</f>
        <v>no</v>
      </c>
      <c r="K78" s="63">
        <f>Table1[[#This Row],[Total enplanements - 2015]]/Table1[[Employees - 2015]:[Employees - 2015]]</f>
        <v>25481.288770053477</v>
      </c>
      <c r="L78" s="63">
        <f>Table1[[#This Row],[Annual aircraft operations - 2015]]/Table1[[Employees - 2015]:[Employees - 2015]]</f>
        <v>681.37433155080214</v>
      </c>
      <c r="M78" s="63">
        <f>Table1[[#This Row],[Total Non Aero Revenue]]/Table1[[Employees - 2015]:[Employees - 2015]]</f>
        <v>439817.25668449199</v>
      </c>
      <c r="N78" s="63">
        <f>Table1[[#This Row],[Total Aero revenue - 2015]]/Table1[[Employees - 2015]:[Employees - 2015]]</f>
        <v>336227.79144385026</v>
      </c>
      <c r="O78" s="38">
        <f>Table1[[#This Row],[Total enplanements - 2015]]/Table1[[TOTAL OPERATING EXPENSES - 2015]:[TOTAL OPERATING EXPENSES - 2015]]</f>
        <v>6.6950688334424593E-2</v>
      </c>
      <c r="P78" s="38">
        <f>Table1[[#This Row],[Annual aircraft operations - 2015]]/Table1[[TOTAL OPERATING EXPENSES - 2015]:[TOTAL OPERATING EXPENSES - 2015]]</f>
        <v>1.7902736758098011E-3</v>
      </c>
      <c r="Q78">
        <f>Table1[[#This Row],[Total Non Aero Revenue]]/Table1[[TOTAL OPERATING EXPENSES - 2015]:[TOTAL OPERATING EXPENSES - 2015]]</f>
        <v>1.1555957134707848</v>
      </c>
      <c r="R78">
        <f>Table1[[#This Row],[Total Aero revenue - 2015]]/Table1[[TOTAL OPERATING EXPENSES - 2015]:[TOTAL OPERATING EXPENSES - 2015]]</f>
        <v>0.88342007649096976</v>
      </c>
    </row>
    <row r="79" spans="2:18" x14ac:dyDescent="0.2">
      <c r="B79" t="s">
        <v>207</v>
      </c>
      <c r="C79" s="22" t="s">
        <v>208</v>
      </c>
      <c r="D79" s="53">
        <v>128</v>
      </c>
      <c r="E79" s="54">
        <v>16518708</v>
      </c>
      <c r="F79" s="53">
        <v>610614</v>
      </c>
      <c r="G79" s="54">
        <v>103067</v>
      </c>
      <c r="H79" s="54">
        <v>10071160</v>
      </c>
      <c r="I79" s="54">
        <v>8578820</v>
      </c>
      <c r="J79" s="35" t="str">
        <f>IF(Table1[[#This Row],[TOTAL OPERATING EXPENSES - 2015]]&gt;100000000,"yes","no")</f>
        <v>no</v>
      </c>
      <c r="K79" s="63">
        <f>Table1[[#This Row],[Total enplanements - 2015]]/Table1[[Employees - 2015]:[Employees - 2015]]</f>
        <v>4770.421875</v>
      </c>
      <c r="L79" s="63">
        <f>Table1[[#This Row],[Annual aircraft operations - 2015]]/Table1[[Employees - 2015]:[Employees - 2015]]</f>
        <v>805.2109375</v>
      </c>
      <c r="M79" s="63">
        <f>Table1[[#This Row],[Total Non Aero Revenue]]/Table1[[Employees - 2015]:[Employees - 2015]]</f>
        <v>78680.9375</v>
      </c>
      <c r="N79" s="63">
        <f>Table1[[#This Row],[Total Aero revenue - 2015]]/Table1[[Employees - 2015]:[Employees - 2015]]</f>
        <v>67022.03125</v>
      </c>
      <c r="O79" s="38">
        <f>Table1[[#This Row],[Total enplanements - 2015]]/Table1[[TOTAL OPERATING EXPENSES - 2015]:[TOTAL OPERATING EXPENSES - 2015]]</f>
        <v>3.6964997504647455E-2</v>
      </c>
      <c r="P79" s="38">
        <f>Table1[[#This Row],[Annual aircraft operations - 2015]]/Table1[[TOTAL OPERATING EXPENSES - 2015]:[TOTAL OPERATING EXPENSES - 2015]]</f>
        <v>6.2394104914258426E-3</v>
      </c>
      <c r="Q79">
        <f>Table1[[#This Row],[Total Non Aero Revenue]]/Table1[[TOTAL OPERATING EXPENSES - 2015]:[TOTAL OPERATING EXPENSES - 2015]]</f>
        <v>0.60968206472322173</v>
      </c>
      <c r="R79">
        <f>Table1[[#This Row],[Total Aero revenue - 2015]]/Table1[[TOTAL OPERATING EXPENSES - 2015]:[TOTAL OPERATING EXPENSES - 2015]]</f>
        <v>0.51933964811291533</v>
      </c>
    </row>
    <row r="80" spans="2:18" x14ac:dyDescent="0.2">
      <c r="B80" t="s">
        <v>209</v>
      </c>
      <c r="C80" s="22" t="s">
        <v>210</v>
      </c>
      <c r="D80" s="53">
        <v>196</v>
      </c>
      <c r="E80" s="54">
        <v>20718207</v>
      </c>
      <c r="F80" s="53">
        <v>1017065</v>
      </c>
      <c r="G80" s="54">
        <v>88691</v>
      </c>
      <c r="H80" s="54">
        <v>18265442</v>
      </c>
      <c r="I80" s="54">
        <v>9595809</v>
      </c>
      <c r="J80" s="35" t="str">
        <f>IF(Table1[[#This Row],[TOTAL OPERATING EXPENSES - 2015]]&gt;100000000,"yes","no")</f>
        <v>no</v>
      </c>
      <c r="K80" s="63">
        <f>Table1[[#This Row],[Total enplanements - 2015]]/Table1[[Employees - 2015]:[Employees - 2015]]</f>
        <v>5189.1071428571431</v>
      </c>
      <c r="L80" s="63">
        <f>Table1[[#This Row],[Annual aircraft operations - 2015]]/Table1[[Employees - 2015]:[Employees - 2015]]</f>
        <v>452.50510204081633</v>
      </c>
      <c r="M80" s="63">
        <f>Table1[[#This Row],[Total Non Aero Revenue]]/Table1[[Employees - 2015]:[Employees - 2015]]</f>
        <v>93191.030612244896</v>
      </c>
      <c r="N80" s="63">
        <f>Table1[[#This Row],[Total Aero revenue - 2015]]/Table1[[Employees - 2015]:[Employees - 2015]]</f>
        <v>48958.209183673469</v>
      </c>
      <c r="O80" s="38">
        <f>Table1[[#This Row],[Total enplanements - 2015]]/Table1[[TOTAL OPERATING EXPENSES - 2015]:[TOTAL OPERATING EXPENSES - 2015]]</f>
        <v>4.9090396673804833E-2</v>
      </c>
      <c r="P80" s="38">
        <f>Table1[[#This Row],[Annual aircraft operations - 2015]]/Table1[[TOTAL OPERATING EXPENSES - 2015]:[TOTAL OPERATING EXPENSES - 2015]]</f>
        <v>4.2808241079935151E-3</v>
      </c>
      <c r="Q80">
        <f>Table1[[#This Row],[Total Non Aero Revenue]]/Table1[[TOTAL OPERATING EXPENSES - 2015]:[TOTAL OPERATING EXPENSES - 2015]]</f>
        <v>0.88161306622720781</v>
      </c>
      <c r="R80">
        <f>Table1[[#This Row],[Total Aero revenue - 2015]]/Table1[[TOTAL OPERATING EXPENSES - 2015]:[TOTAL OPERATING EXPENSES - 2015]]</f>
        <v>0.46315827426572193</v>
      </c>
    </row>
    <row r="81" spans="2:18" x14ac:dyDescent="0.2">
      <c r="B81" t="s">
        <v>211</v>
      </c>
      <c r="C81" s="22" t="s">
        <v>212</v>
      </c>
      <c r="D81" s="53">
        <v>881</v>
      </c>
      <c r="E81" s="54">
        <v>238140134</v>
      </c>
      <c r="F81" s="53">
        <v>21108756</v>
      </c>
      <c r="G81" s="54">
        <v>381408</v>
      </c>
      <c r="H81" s="54">
        <v>196843811</v>
      </c>
      <c r="I81" s="54">
        <v>226048187</v>
      </c>
      <c r="J81" s="35" t="str">
        <f>IF(Table1[[#This Row],[TOTAL OPERATING EXPENSES - 2015]]&gt;100000000,"yes","no")</f>
        <v>yes</v>
      </c>
      <c r="K81" s="63">
        <f>Table1[[#This Row],[Total enplanements - 2015]]/Table1[[Employees - 2015]:[Employees - 2015]]</f>
        <v>23959.995459704882</v>
      </c>
      <c r="L81" s="63">
        <f>Table1[[#This Row],[Annual aircraft operations - 2015]]/Table1[[Employees - 2015]:[Employees - 2015]]</f>
        <v>432.92622020431327</v>
      </c>
      <c r="M81" s="63">
        <f>Table1[[#This Row],[Total Non Aero Revenue]]/Table1[[Employees - 2015]:[Employees - 2015]]</f>
        <v>223432.24858115776</v>
      </c>
      <c r="N81" s="63">
        <f>Table1[[#This Row],[Total Aero revenue - 2015]]/Table1[[Employees - 2015]:[Employees - 2015]]</f>
        <v>256581.3700340522</v>
      </c>
      <c r="O81" s="38">
        <f>Table1[[#This Row],[Total enplanements - 2015]]/Table1[[TOTAL OPERATING EXPENSES - 2015]:[TOTAL OPERATING EXPENSES - 2015]]</f>
        <v>8.8640060981909075E-2</v>
      </c>
      <c r="P81" s="38">
        <f>Table1[[#This Row],[Annual aircraft operations - 2015]]/Table1[[TOTAL OPERATING EXPENSES - 2015]:[TOTAL OPERATING EXPENSES - 2015]]</f>
        <v>1.6016115956330149E-3</v>
      </c>
      <c r="Q81">
        <f>Table1[[#This Row],[Total Non Aero Revenue]]/Table1[[TOTAL OPERATING EXPENSES - 2015]:[TOTAL OPERATING EXPENSES - 2015]]</f>
        <v>0.82658814242541745</v>
      </c>
      <c r="R81">
        <f>Table1[[#This Row],[Total Aero revenue - 2015]]/Table1[[TOTAL OPERATING EXPENSES - 2015]:[TOTAL OPERATING EXPENSES - 2015]]</f>
        <v>0.94922339717840254</v>
      </c>
    </row>
    <row r="82" spans="2:18" x14ac:dyDescent="0.2">
      <c r="B82" t="s">
        <v>213</v>
      </c>
      <c r="C82" s="22" t="s">
        <v>214</v>
      </c>
      <c r="D82" s="53">
        <v>348</v>
      </c>
      <c r="E82" s="54">
        <v>64737516</v>
      </c>
      <c r="F82" s="53">
        <v>4155189</v>
      </c>
      <c r="G82" s="54">
        <v>78443</v>
      </c>
      <c r="H82" s="54">
        <v>51549184</v>
      </c>
      <c r="I82" s="54">
        <v>37963619</v>
      </c>
      <c r="J82" s="35" t="str">
        <f>IF(Table1[[#This Row],[TOTAL OPERATING EXPENSES - 2015]]&gt;100000000,"yes","no")</f>
        <v>no</v>
      </c>
      <c r="K82" s="63">
        <f>Table1[[#This Row],[Total enplanements - 2015]]/Table1[[Employees - 2015]:[Employees - 2015]]</f>
        <v>11940.198275862069</v>
      </c>
      <c r="L82" s="63">
        <f>Table1[[#This Row],[Annual aircraft operations - 2015]]/Table1[[Employees - 2015]:[Employees - 2015]]</f>
        <v>225.41091954022988</v>
      </c>
      <c r="M82" s="63">
        <f>Table1[[#This Row],[Total Non Aero Revenue]]/Table1[[Employees - 2015]:[Employees - 2015]]</f>
        <v>148129.83908045976</v>
      </c>
      <c r="N82" s="63">
        <f>Table1[[#This Row],[Total Aero revenue - 2015]]/Table1[[Employees - 2015]:[Employees - 2015]]</f>
        <v>109090.8591954023</v>
      </c>
      <c r="O82" s="38">
        <f>Table1[[#This Row],[Total enplanements - 2015]]/Table1[[TOTAL OPERATING EXPENSES - 2015]:[TOTAL OPERATING EXPENSES - 2015]]</f>
        <v>6.4185178189413383E-2</v>
      </c>
      <c r="P82" s="38">
        <f>Table1[[#This Row],[Annual aircraft operations - 2015]]/Table1[[TOTAL OPERATING EXPENSES - 2015]:[TOTAL OPERATING EXPENSES - 2015]]</f>
        <v>1.2117085246211795E-3</v>
      </c>
      <c r="Q82">
        <f>Table1[[#This Row],[Total Non Aero Revenue]]/Table1[[TOTAL OPERATING EXPENSES - 2015]:[TOTAL OPERATING EXPENSES - 2015]]</f>
        <v>0.79627991905033857</v>
      </c>
      <c r="R82">
        <f>Table1[[#This Row],[Total Aero revenue - 2015]]/Table1[[TOTAL OPERATING EXPENSES - 2015]:[TOTAL OPERATING EXPENSES - 2015]]</f>
        <v>0.58642378246332472</v>
      </c>
    </row>
    <row r="83" spans="2:18" x14ac:dyDescent="0.2">
      <c r="B83" t="s">
        <v>215</v>
      </c>
      <c r="C83" s="22" t="s">
        <v>216</v>
      </c>
      <c r="D83" s="53">
        <v>135</v>
      </c>
      <c r="E83" s="54">
        <v>22517626</v>
      </c>
      <c r="F83" s="53">
        <v>1566332</v>
      </c>
      <c r="G83" s="54">
        <v>115761</v>
      </c>
      <c r="H83" s="54">
        <v>19271509</v>
      </c>
      <c r="I83" s="54">
        <v>11256295</v>
      </c>
      <c r="J83" s="35" t="str">
        <f>IF(Table1[[#This Row],[TOTAL OPERATING EXPENSES - 2015]]&gt;100000000,"yes","no")</f>
        <v>no</v>
      </c>
      <c r="K83" s="63">
        <f>Table1[[#This Row],[Total enplanements - 2015]]/Table1[[Employees - 2015]:[Employees - 2015]]</f>
        <v>11602.45925925926</v>
      </c>
      <c r="L83" s="63">
        <f>Table1[[#This Row],[Annual aircraft operations - 2015]]/Table1[[Employees - 2015]:[Employees - 2015]]</f>
        <v>857.48888888888894</v>
      </c>
      <c r="M83" s="63">
        <f>Table1[[#This Row],[Total Non Aero Revenue]]/Table1[[Employees - 2015]:[Employees - 2015]]</f>
        <v>142751.91851851851</v>
      </c>
      <c r="N83" s="63">
        <f>Table1[[#This Row],[Total Aero revenue - 2015]]/Table1[[Employees - 2015]:[Employees - 2015]]</f>
        <v>83379.962962962964</v>
      </c>
      <c r="O83" s="38">
        <f>Table1[[#This Row],[Total enplanements - 2015]]/Table1[[TOTAL OPERATING EXPENSES - 2015]:[TOTAL OPERATING EXPENSES - 2015]]</f>
        <v>6.9560263590842122E-2</v>
      </c>
      <c r="P83" s="38">
        <f>Table1[[#This Row],[Annual aircraft operations - 2015]]/Table1[[TOTAL OPERATING EXPENSES - 2015]:[TOTAL OPERATING EXPENSES - 2015]]</f>
        <v>5.1409060617669021E-3</v>
      </c>
      <c r="Q83">
        <f>Table1[[#This Row],[Total Non Aero Revenue]]/Table1[[TOTAL OPERATING EXPENSES - 2015]:[TOTAL OPERATING EXPENSES - 2015]]</f>
        <v>0.85584106424007578</v>
      </c>
      <c r="R83">
        <f>Table1[[#This Row],[Total Aero revenue - 2015]]/Table1[[TOTAL OPERATING EXPENSES - 2015]:[TOTAL OPERATING EXPENSES - 2015]]</f>
        <v>0.49988817648894246</v>
      </c>
    </row>
    <row r="84" spans="2:18" x14ac:dyDescent="0.2">
      <c r="B84" t="s">
        <v>217</v>
      </c>
      <c r="C84" s="22" t="s">
        <v>218</v>
      </c>
      <c r="D84" s="53">
        <v>605</v>
      </c>
      <c r="E84" s="54">
        <v>108171558</v>
      </c>
      <c r="F84" s="53">
        <v>9263336</v>
      </c>
      <c r="G84" s="54">
        <v>189251</v>
      </c>
      <c r="H84" s="54">
        <v>136912489</v>
      </c>
      <c r="I84" s="54">
        <v>57958021</v>
      </c>
      <c r="J84" s="35" t="str">
        <f>IF(Table1[[#This Row],[TOTAL OPERATING EXPENSES - 2015]]&gt;100000000,"yes","no")</f>
        <v>yes</v>
      </c>
      <c r="K84" s="63">
        <f>Table1[[#This Row],[Total enplanements - 2015]]/Table1[[Employees - 2015]:[Employees - 2015]]</f>
        <v>15311.29917355372</v>
      </c>
      <c r="L84" s="63">
        <f>Table1[[#This Row],[Annual aircraft operations - 2015]]/Table1[[Employees - 2015]:[Employees - 2015]]</f>
        <v>312.8115702479339</v>
      </c>
      <c r="M84" s="63">
        <f>Table1[[#This Row],[Total Non Aero Revenue]]/Table1[[Employees - 2015]:[Employees - 2015]]</f>
        <v>226301.63471074379</v>
      </c>
      <c r="N84" s="63">
        <f>Table1[[#This Row],[Total Aero revenue - 2015]]/Table1[[Employees - 2015]:[Employees - 2015]]</f>
        <v>95798.381818181821</v>
      </c>
      <c r="O84" s="38">
        <f>Table1[[#This Row],[Total enplanements - 2015]]/Table1[[TOTAL OPERATING EXPENSES - 2015]:[TOTAL OPERATING EXPENSES - 2015]]</f>
        <v>8.5635597483027834E-2</v>
      </c>
      <c r="P84" s="38">
        <f>Table1[[#This Row],[Annual aircraft operations - 2015]]/Table1[[TOTAL OPERATING EXPENSES - 2015]:[TOTAL OPERATING EXPENSES - 2015]]</f>
        <v>1.7495449219655319E-3</v>
      </c>
      <c r="Q84">
        <f>Table1[[#This Row],[Total Non Aero Revenue]]/Table1[[TOTAL OPERATING EXPENSES - 2015]:[TOTAL OPERATING EXPENSES - 2015]]</f>
        <v>1.2656976707315244</v>
      </c>
      <c r="R84">
        <f>Table1[[#This Row],[Total Aero revenue - 2015]]/Table1[[TOTAL OPERATING EXPENSES - 2015]:[TOTAL OPERATING EXPENSES - 2015]]</f>
        <v>0.53579722869481083</v>
      </c>
    </row>
    <row r="85" spans="2:18" x14ac:dyDescent="0.2">
      <c r="B85" t="s">
        <v>219</v>
      </c>
      <c r="C85" s="22" t="s">
        <v>220</v>
      </c>
      <c r="D85" s="53">
        <v>151</v>
      </c>
      <c r="E85" s="54">
        <v>27287707</v>
      </c>
      <c r="F85" s="53">
        <v>1776424</v>
      </c>
      <c r="G85" s="54">
        <v>68015</v>
      </c>
      <c r="H85" s="54">
        <v>22837231</v>
      </c>
      <c r="I85" s="54">
        <v>26792412</v>
      </c>
      <c r="J85" s="35" t="str">
        <f>IF(Table1[[#This Row],[TOTAL OPERATING EXPENSES - 2015]]&gt;100000000,"yes","no")</f>
        <v>no</v>
      </c>
      <c r="K85" s="63">
        <f>Table1[[#This Row],[Total enplanements - 2015]]/Table1[[Employees - 2015]:[Employees - 2015]]</f>
        <v>11764.397350993377</v>
      </c>
      <c r="L85" s="63">
        <f>Table1[[#This Row],[Annual aircraft operations - 2015]]/Table1[[Employees - 2015]:[Employees - 2015]]</f>
        <v>450.43046357615896</v>
      </c>
      <c r="M85" s="63">
        <f>Table1[[#This Row],[Total Non Aero Revenue]]/Table1[[Employees - 2015]:[Employees - 2015]]</f>
        <v>151239.94039735099</v>
      </c>
      <c r="N85" s="63">
        <f>Table1[[#This Row],[Total Aero revenue - 2015]]/Table1[[Employees - 2015]:[Employees - 2015]]</f>
        <v>177433.19205298013</v>
      </c>
      <c r="O85" s="38">
        <f>Table1[[#This Row],[Total enplanements - 2015]]/Table1[[TOTAL OPERATING EXPENSES - 2015]:[TOTAL OPERATING EXPENSES - 2015]]</f>
        <v>6.5099790172915589E-2</v>
      </c>
      <c r="P85" s="38">
        <f>Table1[[#This Row],[Annual aircraft operations - 2015]]/Table1[[TOTAL OPERATING EXPENSES - 2015]:[TOTAL OPERATING EXPENSES - 2015]]</f>
        <v>2.4925143032355191E-3</v>
      </c>
      <c r="Q85">
        <f>Table1[[#This Row],[Total Non Aero Revenue]]/Table1[[TOTAL OPERATING EXPENSES - 2015]:[TOTAL OPERATING EXPENSES - 2015]]</f>
        <v>0.8369054607629729</v>
      </c>
      <c r="R85">
        <f>Table1[[#This Row],[Total Aero revenue - 2015]]/Table1[[TOTAL OPERATING EXPENSES - 2015]:[TOTAL OPERATING EXPENSES - 2015]]</f>
        <v>0.98184915280715968</v>
      </c>
    </row>
    <row r="86" spans="2:18" x14ac:dyDescent="0.2">
      <c r="B86" t="s">
        <v>221</v>
      </c>
      <c r="C86" s="22" t="s">
        <v>222</v>
      </c>
      <c r="D86" s="53">
        <v>240</v>
      </c>
      <c r="E86" s="54">
        <v>28195668</v>
      </c>
      <c r="F86" s="53">
        <v>1590321</v>
      </c>
      <c r="G86" s="54">
        <v>141422</v>
      </c>
      <c r="H86" s="54">
        <v>24500359</v>
      </c>
      <c r="I86" s="54">
        <v>17292306</v>
      </c>
      <c r="J86" s="35" t="str">
        <f>IF(Table1[[#This Row],[TOTAL OPERATING EXPENSES - 2015]]&gt;100000000,"yes","no")</f>
        <v>no</v>
      </c>
      <c r="K86" s="63">
        <f>Table1[[#This Row],[Total enplanements - 2015]]/Table1[[Employees - 2015]:[Employees - 2015]]</f>
        <v>6626.3374999999996</v>
      </c>
      <c r="L86" s="63">
        <f>Table1[[#This Row],[Annual aircraft operations - 2015]]/Table1[[Employees - 2015]:[Employees - 2015]]</f>
        <v>589.25833333333333</v>
      </c>
      <c r="M86" s="63">
        <f>Table1[[#This Row],[Total Non Aero Revenue]]/Table1[[Employees - 2015]:[Employees - 2015]]</f>
        <v>102084.82916666666</v>
      </c>
      <c r="N86" s="63">
        <f>Table1[[#This Row],[Total Aero revenue - 2015]]/Table1[[Employees - 2015]:[Employees - 2015]]</f>
        <v>72051.274999999994</v>
      </c>
      <c r="O86" s="38">
        <f>Table1[[#This Row],[Total enplanements - 2015]]/Table1[[TOTAL OPERATING EXPENSES - 2015]:[TOTAL OPERATING EXPENSES - 2015]]</f>
        <v>5.6403026166998417E-2</v>
      </c>
      <c r="P86" s="38">
        <f>Table1[[#This Row],[Annual aircraft operations - 2015]]/Table1[[TOTAL OPERATING EXPENSES - 2015]:[TOTAL OPERATING EXPENSES - 2015]]</f>
        <v>5.015735041283647E-3</v>
      </c>
      <c r="Q86">
        <f>Table1[[#This Row],[Total Non Aero Revenue]]/Table1[[TOTAL OPERATING EXPENSES - 2015]:[TOTAL OPERATING EXPENSES - 2015]]</f>
        <v>0.86894054079513205</v>
      </c>
      <c r="R86">
        <f>Table1[[#This Row],[Total Aero revenue - 2015]]/Table1[[TOTAL OPERATING EXPENSES - 2015]:[TOTAL OPERATING EXPENSES - 2015]]</f>
        <v>0.61329655321519605</v>
      </c>
    </row>
    <row r="87" spans="2:18" x14ac:dyDescent="0.2">
      <c r="B87" t="s">
        <v>223</v>
      </c>
      <c r="C87" s="22" t="s">
        <v>224</v>
      </c>
      <c r="D87" s="53">
        <v>143</v>
      </c>
      <c r="E87" s="54">
        <v>19624034</v>
      </c>
      <c r="F87" s="53">
        <v>1373832</v>
      </c>
      <c r="G87" s="54">
        <v>101441</v>
      </c>
      <c r="H87" s="54">
        <v>18777193</v>
      </c>
      <c r="I87" s="54">
        <v>14342974</v>
      </c>
      <c r="J87" s="35" t="str">
        <f>IF(Table1[[#This Row],[TOTAL OPERATING EXPENSES - 2015]]&gt;100000000,"yes","no")</f>
        <v>no</v>
      </c>
      <c r="K87" s="63">
        <f>Table1[[#This Row],[Total enplanements - 2015]]/Table1[[Employees - 2015]:[Employees - 2015]]</f>
        <v>9607.2167832167834</v>
      </c>
      <c r="L87" s="63">
        <f>Table1[[#This Row],[Annual aircraft operations - 2015]]/Table1[[Employees - 2015]:[Employees - 2015]]</f>
        <v>709.3776223776224</v>
      </c>
      <c r="M87" s="63">
        <f>Table1[[#This Row],[Total Non Aero Revenue]]/Table1[[Employees - 2015]:[Employees - 2015]]</f>
        <v>131309.04195804195</v>
      </c>
      <c r="N87" s="63">
        <f>Table1[[#This Row],[Total Aero revenue - 2015]]/Table1[[Employees - 2015]:[Employees - 2015]]</f>
        <v>100300.51748251748</v>
      </c>
      <c r="O87" s="38">
        <f>Table1[[#This Row],[Total enplanements - 2015]]/Table1[[TOTAL OPERATING EXPENSES - 2015]:[TOTAL OPERATING EXPENSES - 2015]]</f>
        <v>7.0007624324336173E-2</v>
      </c>
      <c r="P87" s="38">
        <f>Table1[[#This Row],[Annual aircraft operations - 2015]]/Table1[[TOTAL OPERATING EXPENSES - 2015]:[TOTAL OPERATING EXPENSES - 2015]]</f>
        <v>5.1692225971479667E-3</v>
      </c>
      <c r="Q87">
        <f>Table1[[#This Row],[Total Non Aero Revenue]]/Table1[[TOTAL OPERATING EXPENSES - 2015]:[TOTAL OPERATING EXPENSES - 2015]]</f>
        <v>0.95684674211224874</v>
      </c>
      <c r="R87">
        <f>Table1[[#This Row],[Total Aero revenue - 2015]]/Table1[[TOTAL OPERATING EXPENSES - 2015]:[TOTAL OPERATING EXPENSES - 2015]]</f>
        <v>0.73088815480038405</v>
      </c>
    </row>
    <row r="88" spans="2:18" x14ac:dyDescent="0.2">
      <c r="B88" t="s">
        <v>225</v>
      </c>
      <c r="C88" s="22" t="s">
        <v>226</v>
      </c>
      <c r="D88" s="53">
        <v>904</v>
      </c>
      <c r="E88" s="54">
        <v>227118188</v>
      </c>
      <c r="F88" s="53">
        <v>10713852</v>
      </c>
      <c r="G88" s="54">
        <v>269070</v>
      </c>
      <c r="H88" s="54">
        <v>187009228</v>
      </c>
      <c r="I88" s="54">
        <v>281322422</v>
      </c>
      <c r="J88" s="35" t="str">
        <f>IF(Table1[[#This Row],[TOTAL OPERATING EXPENSES - 2015]]&gt;100000000,"yes","no")</f>
        <v>yes</v>
      </c>
      <c r="K88" s="63">
        <f>Table1[[#This Row],[Total enplanements - 2015]]/Table1[[Employees - 2015]:[Employees - 2015]]</f>
        <v>11851.606194690265</v>
      </c>
      <c r="L88" s="63">
        <f>Table1[[#This Row],[Annual aircraft operations - 2015]]/Table1[[Employees - 2015]:[Employees - 2015]]</f>
        <v>297.64380530973449</v>
      </c>
      <c r="M88" s="63">
        <f>Table1[[#This Row],[Total Non Aero Revenue]]/Table1[[Employees - 2015]:[Employees - 2015]]</f>
        <v>206868.6150442478</v>
      </c>
      <c r="N88" s="63">
        <f>Table1[[#This Row],[Total Aero revenue - 2015]]/Table1[[Employees - 2015]:[Employees - 2015]]</f>
        <v>311197.36946902657</v>
      </c>
      <c r="O88" s="38">
        <f>Table1[[#This Row],[Total enplanements - 2015]]/Table1[[TOTAL OPERATING EXPENSES - 2015]:[TOTAL OPERATING EXPENSES - 2015]]</f>
        <v>4.7173025174012041E-2</v>
      </c>
      <c r="P88" s="38">
        <f>Table1[[#This Row],[Annual aircraft operations - 2015]]/Table1[[TOTAL OPERATING EXPENSES - 2015]:[TOTAL OPERATING EXPENSES - 2015]]</f>
        <v>1.1847135730054345E-3</v>
      </c>
      <c r="Q88">
        <f>Table1[[#This Row],[Total Non Aero Revenue]]/Table1[[TOTAL OPERATING EXPENSES - 2015]:[TOTAL OPERATING EXPENSES - 2015]]</f>
        <v>0.82340049313884101</v>
      </c>
      <c r="R88">
        <f>Table1[[#This Row],[Total Aero revenue - 2015]]/Table1[[TOTAL OPERATING EXPENSES - 2015]:[TOTAL OPERATING EXPENSES - 2015]]</f>
        <v>1.2386609125289429</v>
      </c>
    </row>
    <row r="89" spans="2:18" x14ac:dyDescent="0.2">
      <c r="B89" t="s">
        <v>227</v>
      </c>
      <c r="C89" s="22" t="s">
        <v>228</v>
      </c>
      <c r="D89" s="53">
        <v>131</v>
      </c>
      <c r="E89" s="54">
        <v>18817165</v>
      </c>
      <c r="F89" s="53">
        <v>782725</v>
      </c>
      <c r="G89" s="54">
        <v>117867</v>
      </c>
      <c r="H89" s="54">
        <v>12910901</v>
      </c>
      <c r="I89" s="54">
        <v>9280932</v>
      </c>
      <c r="J89" s="35" t="str">
        <f>IF(Table1[[#This Row],[TOTAL OPERATING EXPENSES - 2015]]&gt;100000000,"yes","no")</f>
        <v>no</v>
      </c>
      <c r="K89" s="63">
        <f>Table1[[#This Row],[Total enplanements - 2015]]/Table1[[Employees - 2015]:[Employees - 2015]]</f>
        <v>5975</v>
      </c>
      <c r="L89" s="63">
        <f>Table1[[#This Row],[Annual aircraft operations - 2015]]/Table1[[Employees - 2015]:[Employees - 2015]]</f>
        <v>899.74809160305347</v>
      </c>
      <c r="M89" s="63">
        <f>Table1[[#This Row],[Total Non Aero Revenue]]/Table1[[Employees - 2015]:[Employees - 2015]]</f>
        <v>98556.496183206109</v>
      </c>
      <c r="N89" s="63">
        <f>Table1[[#This Row],[Total Aero revenue - 2015]]/Table1[[Employees - 2015]:[Employees - 2015]]</f>
        <v>70846.809160305347</v>
      </c>
      <c r="O89" s="38">
        <f>Table1[[#This Row],[Total enplanements - 2015]]/Table1[[TOTAL OPERATING EXPENSES - 2015]:[TOTAL OPERATING EXPENSES - 2015]]</f>
        <v>4.159632973404867E-2</v>
      </c>
      <c r="P89" s="38">
        <f>Table1[[#This Row],[Annual aircraft operations - 2015]]/Table1[[TOTAL OPERATING EXPENSES - 2015]:[TOTAL OPERATING EXPENSES - 2015]]</f>
        <v>6.263802225255505E-3</v>
      </c>
      <c r="Q89">
        <f>Table1[[#This Row],[Total Non Aero Revenue]]/Table1[[TOTAL OPERATING EXPENSES - 2015]:[TOTAL OPERATING EXPENSES - 2015]]</f>
        <v>0.68612360044671983</v>
      </c>
      <c r="R89">
        <f>Table1[[#This Row],[Total Aero revenue - 2015]]/Table1[[TOTAL OPERATING EXPENSES - 2015]:[TOTAL OPERATING EXPENSES - 2015]]</f>
        <v>0.49321627354598846</v>
      </c>
    </row>
    <row r="90" spans="2:18" x14ac:dyDescent="0.2">
      <c r="B90" t="s">
        <v>229</v>
      </c>
      <c r="C90" s="22" t="s">
        <v>230</v>
      </c>
      <c r="D90" s="53">
        <v>118</v>
      </c>
      <c r="E90" s="54">
        <v>27264332</v>
      </c>
      <c r="F90" s="53">
        <v>1886219</v>
      </c>
      <c r="G90" s="54">
        <v>184652</v>
      </c>
      <c r="H90" s="54">
        <v>36730652</v>
      </c>
      <c r="I90" s="54">
        <v>16987625</v>
      </c>
      <c r="J90" s="35" t="str">
        <f>IF(Table1[[#This Row],[TOTAL OPERATING EXPENSES - 2015]]&gt;100000000,"yes","no")</f>
        <v>no</v>
      </c>
      <c r="K90" s="63">
        <f>Table1[[#This Row],[Total enplanements - 2015]]/Table1[[Employees - 2015]:[Employees - 2015]]</f>
        <v>15984.906779661016</v>
      </c>
      <c r="L90" s="63">
        <f>Table1[[#This Row],[Annual aircraft operations - 2015]]/Table1[[Employees - 2015]:[Employees - 2015]]</f>
        <v>1564.8474576271187</v>
      </c>
      <c r="M90" s="63">
        <f>Table1[[#This Row],[Total Non Aero Revenue]]/Table1[[Employees - 2015]:[Employees - 2015]]</f>
        <v>311276.71186440677</v>
      </c>
      <c r="N90" s="63">
        <f>Table1[[#This Row],[Total Aero revenue - 2015]]/Table1[[Employees - 2015]:[Employees - 2015]]</f>
        <v>143962.92372881356</v>
      </c>
      <c r="O90" s="38">
        <f>Table1[[#This Row],[Total enplanements - 2015]]/Table1[[TOTAL OPERATING EXPENSES - 2015]:[TOTAL OPERATING EXPENSES - 2015]]</f>
        <v>6.9182659600829394E-2</v>
      </c>
      <c r="P90" s="38">
        <f>Table1[[#This Row],[Annual aircraft operations - 2015]]/Table1[[TOTAL OPERATING EXPENSES - 2015]:[TOTAL OPERATING EXPENSES - 2015]]</f>
        <v>6.7726581381124615E-3</v>
      </c>
      <c r="Q90">
        <f>Table1[[#This Row],[Total Non Aero Revenue]]/Table1[[TOTAL OPERATING EXPENSES - 2015]:[TOTAL OPERATING EXPENSES - 2015]]</f>
        <v>1.347205279043697</v>
      </c>
      <c r="R90">
        <f>Table1[[#This Row],[Total Aero revenue - 2015]]/Table1[[TOTAL OPERATING EXPENSES - 2015]:[TOTAL OPERATING EXPENSES - 2015]]</f>
        <v>0.62307138131974038</v>
      </c>
    </row>
    <row r="91" spans="2:18" x14ac:dyDescent="0.2">
      <c r="B91" t="s">
        <v>231</v>
      </c>
      <c r="C91" s="22" t="s">
        <v>232</v>
      </c>
      <c r="D91" s="53">
        <v>309</v>
      </c>
      <c r="E91" s="54">
        <v>60416192</v>
      </c>
      <c r="F91" s="53">
        <v>5945413</v>
      </c>
      <c r="G91" s="54">
        <v>200740</v>
      </c>
      <c r="H91" s="54">
        <v>47542495</v>
      </c>
      <c r="I91" s="54">
        <v>44044662</v>
      </c>
      <c r="J91" s="35" t="str">
        <f>IF(Table1[[#This Row],[TOTAL OPERATING EXPENSES - 2015]]&gt;100000000,"yes","no")</f>
        <v>no</v>
      </c>
      <c r="K91" s="63">
        <f>Table1[[#This Row],[Total enplanements - 2015]]/Table1[[Employees - 2015]:[Employees - 2015]]</f>
        <v>19240.818770226539</v>
      </c>
      <c r="L91" s="63">
        <f>Table1[[#This Row],[Annual aircraft operations - 2015]]/Table1[[Employees - 2015]:[Employees - 2015]]</f>
        <v>649.64401294498384</v>
      </c>
      <c r="M91" s="63">
        <f>Table1[[#This Row],[Total Non Aero Revenue]]/Table1[[Employees - 2015]:[Employees - 2015]]</f>
        <v>153859.2071197411</v>
      </c>
      <c r="N91" s="63">
        <f>Table1[[#This Row],[Total Aero revenue - 2015]]/Table1[[Employees - 2015]:[Employees - 2015]]</f>
        <v>142539.35922330097</v>
      </c>
      <c r="O91" s="38">
        <f>Table1[[#This Row],[Total enplanements - 2015]]/Table1[[TOTAL OPERATING EXPENSES - 2015]:[TOTAL OPERATING EXPENSES - 2015]]</f>
        <v>9.8407609006539179E-2</v>
      </c>
      <c r="P91" s="38">
        <f>Table1[[#This Row],[Annual aircraft operations - 2015]]/Table1[[TOTAL OPERATING EXPENSES - 2015]:[TOTAL OPERATING EXPENSES - 2015]]</f>
        <v>3.3226192077779413E-3</v>
      </c>
      <c r="Q91">
        <f>Table1[[#This Row],[Total Non Aero Revenue]]/Table1[[TOTAL OPERATING EXPENSES - 2015]:[TOTAL OPERATING EXPENSES - 2015]]</f>
        <v>0.78691644451871445</v>
      </c>
      <c r="R91">
        <f>Table1[[#This Row],[Total Aero revenue - 2015]]/Table1[[TOTAL OPERATING EXPENSES - 2015]:[TOTAL OPERATING EXPENSES - 2015]]</f>
        <v>0.7290208227622158</v>
      </c>
    </row>
  </sheetData>
  <phoneticPr fontId="10"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D1796-32C7-48AD-8E65-943B5F9CE2FD}">
  <dimension ref="A1:M90"/>
  <sheetViews>
    <sheetView workbookViewId="0">
      <selection activeCell="L8" sqref="L8"/>
    </sheetView>
  </sheetViews>
  <sheetFormatPr defaultRowHeight="12.75" x14ac:dyDescent="0.2"/>
  <cols>
    <col min="12" max="12" width="27.140625" bestFit="1" customWidth="1"/>
  </cols>
  <sheetData>
    <row r="1" spans="1:13" x14ac:dyDescent="0.2">
      <c r="A1" t="s">
        <v>19</v>
      </c>
      <c r="B1" t="s">
        <v>316</v>
      </c>
      <c r="C1" t="s">
        <v>317</v>
      </c>
    </row>
    <row r="2" spans="1:13" ht="15.75" x14ac:dyDescent="0.25">
      <c r="A2" s="25" t="s">
        <v>175</v>
      </c>
      <c r="B2" s="51">
        <v>0.72699999999999998</v>
      </c>
      <c r="C2" s="32" t="s">
        <v>313</v>
      </c>
      <c r="D2" t="s">
        <v>315</v>
      </c>
      <c r="E2" t="str">
        <f>_xlfn.CONCAT(A2,$D$2,B2,$D$2,C2)</f>
        <v>PHILADELPHIA INTL,0.727,&gt;100M</v>
      </c>
    </row>
    <row r="3" spans="1:13" ht="15.75" x14ac:dyDescent="0.25">
      <c r="A3" s="25" t="s">
        <v>95</v>
      </c>
      <c r="B3" s="51">
        <v>0.755</v>
      </c>
      <c r="C3" s="32" t="s">
        <v>313</v>
      </c>
      <c r="E3" t="str">
        <f t="shared" ref="E3:E66" si="0">_xlfn.CONCAT(A3,$D$2,B3,$D$2,C3)</f>
        <v>DETROIT METRO  WAYNE,0.755,&gt;100M</v>
      </c>
      <c r="L3" t="s">
        <v>319</v>
      </c>
      <c r="M3" t="str">
        <f>_xlfn.CONCAT("'",L3,"'")</f>
        <v>'airport'</v>
      </c>
    </row>
    <row r="4" spans="1:13" ht="15.75" x14ac:dyDescent="0.25">
      <c r="A4" s="25" t="s">
        <v>63</v>
      </c>
      <c r="B4" s="51">
        <v>0.80100000000000005</v>
      </c>
      <c r="C4" s="32" t="s">
        <v>313</v>
      </c>
      <c r="E4" t="str">
        <f t="shared" si="0"/>
        <v>BALTIMORE-WASHINGTON INTL,0.801,&gt;100M</v>
      </c>
      <c r="L4" t="s">
        <v>320</v>
      </c>
      <c r="M4" t="str">
        <f t="shared" ref="M4:M11" si="1">_xlfn.CONCAT("'",L4,"'")</f>
        <v>'airport code'</v>
      </c>
    </row>
    <row r="5" spans="1:13" ht="15.75" x14ac:dyDescent="0.25">
      <c r="A5" s="25" t="s">
        <v>177</v>
      </c>
      <c r="B5" s="51">
        <v>0.82499999999999996</v>
      </c>
      <c r="C5" s="32" t="s">
        <v>313</v>
      </c>
      <c r="E5" t="str">
        <f t="shared" si="0"/>
        <v>PHOENIX SKY HARBOR INTL,0.825,&gt;100M</v>
      </c>
      <c r="L5" t="s">
        <v>321</v>
      </c>
      <c r="M5" t="str">
        <f t="shared" si="1"/>
        <v>'employees - 2015'</v>
      </c>
    </row>
    <row r="6" spans="1:13" ht="15.75" x14ac:dyDescent="0.25">
      <c r="A6" s="25" t="s">
        <v>115</v>
      </c>
      <c r="B6" s="51">
        <v>0.84299999999999997</v>
      </c>
      <c r="C6" s="32" t="s">
        <v>313</v>
      </c>
      <c r="E6" t="str">
        <f t="shared" si="0"/>
        <v>HONOLULU INTL,0.843,&gt;100M</v>
      </c>
      <c r="L6" t="s">
        <v>322</v>
      </c>
      <c r="M6" t="str">
        <f t="shared" si="1"/>
        <v>'total operating expenses - 2015'</v>
      </c>
    </row>
    <row r="7" spans="1:13" ht="15.75" x14ac:dyDescent="0.25">
      <c r="A7" s="25" t="s">
        <v>93</v>
      </c>
      <c r="B7" s="51">
        <v>0.85</v>
      </c>
      <c r="C7" s="32" t="s">
        <v>313</v>
      </c>
      <c r="E7" t="str">
        <f t="shared" si="0"/>
        <v>DENVER INTL,0.85,&gt;100M</v>
      </c>
      <c r="L7" t="s">
        <v>323</v>
      </c>
      <c r="M7" t="str">
        <f t="shared" si="1"/>
        <v>'total enplanements - 2015'</v>
      </c>
    </row>
    <row r="8" spans="1:13" ht="15.75" x14ac:dyDescent="0.25">
      <c r="A8" s="25" t="s">
        <v>211</v>
      </c>
      <c r="B8" s="51">
        <v>0.85299999999999998</v>
      </c>
      <c r="C8" s="32" t="s">
        <v>313</v>
      </c>
      <c r="E8" t="str">
        <f t="shared" si="0"/>
        <v>SEATTLE-TACOMA INTL,0.853,&gt;100M</v>
      </c>
      <c r="L8" t="s">
        <v>324</v>
      </c>
      <c r="M8" t="str">
        <f t="shared" si="1"/>
        <v>'annual aircraft operations - 2015'</v>
      </c>
    </row>
    <row r="9" spans="1:13" ht="15.75" x14ac:dyDescent="0.25">
      <c r="A9" s="25" t="s">
        <v>107</v>
      </c>
      <c r="B9" s="51">
        <v>0.88400000000000001</v>
      </c>
      <c r="C9" s="32" t="s">
        <v>313</v>
      </c>
      <c r="E9" t="str">
        <f t="shared" si="0"/>
        <v>GEORGE BUSH  INTERCONTINENTAL,0.884,&gt;100M</v>
      </c>
      <c r="L9" t="s">
        <v>325</v>
      </c>
      <c r="M9" t="str">
        <f t="shared" si="1"/>
        <v>'total non aero revenue'</v>
      </c>
    </row>
    <row r="10" spans="1:13" ht="15.75" x14ac:dyDescent="0.25">
      <c r="A10" s="25" t="s">
        <v>201</v>
      </c>
      <c r="B10" s="51">
        <v>0.9</v>
      </c>
      <c r="C10" s="32" t="s">
        <v>313</v>
      </c>
      <c r="E10" t="str">
        <f t="shared" si="0"/>
        <v>SAN DIEGO INTL,0.9,&gt;100M</v>
      </c>
      <c r="L10" t="s">
        <v>326</v>
      </c>
      <c r="M10" t="str">
        <f t="shared" si="1"/>
        <v>'total aero revenue - 2015'</v>
      </c>
    </row>
    <row r="11" spans="1:13" ht="15.75" x14ac:dyDescent="0.25">
      <c r="A11" s="25" t="s">
        <v>193</v>
      </c>
      <c r="B11" s="51">
        <v>0.90900000000000003</v>
      </c>
      <c r="C11" s="32" t="s">
        <v>313</v>
      </c>
      <c r="E11" t="str">
        <f t="shared" si="0"/>
        <v>RONALD REAGAN WASHINGTON NATIONAL,0.909,&gt;100M</v>
      </c>
      <c r="L11" t="s">
        <v>318</v>
      </c>
      <c r="M11" t="str">
        <f t="shared" si="1"/>
        <v>'expense level'</v>
      </c>
    </row>
    <row r="12" spans="1:13" ht="15.75" x14ac:dyDescent="0.25">
      <c r="A12" s="25" t="s">
        <v>153</v>
      </c>
      <c r="B12" s="51">
        <v>0.94</v>
      </c>
      <c r="C12" s="32" t="s">
        <v>313</v>
      </c>
      <c r="E12" t="str">
        <f t="shared" si="0"/>
        <v>MIAMI INTL,0.94,&gt;100M</v>
      </c>
    </row>
    <row r="13" spans="1:13" ht="15.75" x14ac:dyDescent="0.25">
      <c r="A13" s="25" t="s">
        <v>101</v>
      </c>
      <c r="B13" s="51">
        <v>0.94299999999999995</v>
      </c>
      <c r="C13" s="32" t="s">
        <v>313</v>
      </c>
      <c r="E13" t="str">
        <f t="shared" si="0"/>
        <v>FORT LAUDERDALE/ HOLLYWOOD INTL,0.943,&gt;100M</v>
      </c>
    </row>
    <row r="14" spans="1:13" ht="15.75" x14ac:dyDescent="0.25">
      <c r="A14" s="25" t="s">
        <v>89</v>
      </c>
      <c r="B14" s="51">
        <v>0.98399999999999999</v>
      </c>
      <c r="C14" s="32" t="s">
        <v>313</v>
      </c>
      <c r="E14" t="str">
        <f t="shared" si="0"/>
        <v>DALLAS/FORT WORTH INTL,0.984,&gt;100M</v>
      </c>
    </row>
    <row r="15" spans="1:13" ht="15.75" x14ac:dyDescent="0.25">
      <c r="A15" s="25" t="s">
        <v>103</v>
      </c>
      <c r="B15" s="51">
        <v>0.998</v>
      </c>
      <c r="C15" s="32" t="s">
        <v>313</v>
      </c>
      <c r="E15" t="str">
        <f t="shared" si="0"/>
        <v>GENERAL EDWARD LAWRENCE LOGAN,0.998,&gt;100M</v>
      </c>
    </row>
    <row r="16" spans="1:13" ht="15.75" x14ac:dyDescent="0.25">
      <c r="A16" s="25" t="s">
        <v>81</v>
      </c>
      <c r="B16" s="51">
        <v>1</v>
      </c>
      <c r="C16" s="32" t="s">
        <v>313</v>
      </c>
      <c r="E16" t="str">
        <f t="shared" si="0"/>
        <v>CHICAGO OHARE INTL,1,&gt;100M</v>
      </c>
    </row>
    <row r="17" spans="1:5" ht="15.75" x14ac:dyDescent="0.25">
      <c r="A17" s="25" t="s">
        <v>125</v>
      </c>
      <c r="B17" s="51">
        <v>1</v>
      </c>
      <c r="C17" s="32" t="s">
        <v>313</v>
      </c>
      <c r="E17" t="str">
        <f t="shared" si="0"/>
        <v>JOHN F KENNEDY INTL,1,&gt;100M</v>
      </c>
    </row>
    <row r="18" spans="1:5" ht="15.75" x14ac:dyDescent="0.25">
      <c r="A18" s="25" t="s">
        <v>143</v>
      </c>
      <c r="B18" s="51">
        <v>1</v>
      </c>
      <c r="C18" s="32" t="s">
        <v>313</v>
      </c>
      <c r="E18" t="str">
        <f t="shared" si="0"/>
        <v>LOS ANGELES INTL,1,&gt;100M</v>
      </c>
    </row>
    <row r="19" spans="1:5" ht="15.75" x14ac:dyDescent="0.25">
      <c r="A19" s="25" t="s">
        <v>165</v>
      </c>
      <c r="B19" s="51">
        <v>1</v>
      </c>
      <c r="C19" s="32" t="s">
        <v>313</v>
      </c>
      <c r="E19" t="str">
        <f t="shared" si="0"/>
        <v>NEWARK INTL,1,&gt;100M</v>
      </c>
    </row>
    <row r="20" spans="1:5" ht="15.75" x14ac:dyDescent="0.25">
      <c r="A20" s="25" t="s">
        <v>203</v>
      </c>
      <c r="B20" s="51">
        <v>1</v>
      </c>
      <c r="C20" s="32" t="s">
        <v>313</v>
      </c>
      <c r="E20" t="str">
        <f t="shared" si="0"/>
        <v>SAN FRANCISCO INTL,1,&gt;100M</v>
      </c>
    </row>
    <row r="21" spans="1:5" ht="15.75" x14ac:dyDescent="0.25">
      <c r="A21" s="25" t="s">
        <v>133</v>
      </c>
      <c r="B21" s="51">
        <v>1</v>
      </c>
      <c r="C21" s="32" t="s">
        <v>313</v>
      </c>
      <c r="E21" t="str">
        <f t="shared" si="0"/>
        <v>LAGUARDIA,1,&gt;100M</v>
      </c>
    </row>
    <row r="22" spans="1:5" ht="15.75" x14ac:dyDescent="0.25">
      <c r="A22" s="25" t="s">
        <v>113</v>
      </c>
      <c r="B22" s="51">
        <v>1</v>
      </c>
      <c r="C22" s="32" t="s">
        <v>313</v>
      </c>
      <c r="E22" t="str">
        <f t="shared" si="0"/>
        <v>Hartsfield-Jackson Atlanta International,1,&gt;100M</v>
      </c>
    </row>
    <row r="23" spans="1:5" ht="15.75" x14ac:dyDescent="0.25">
      <c r="A23" s="25" t="s">
        <v>173</v>
      </c>
      <c r="B23" s="51">
        <v>1</v>
      </c>
      <c r="C23" s="32" t="s">
        <v>313</v>
      </c>
      <c r="E23" t="str">
        <f t="shared" si="0"/>
        <v>ORLANDO INTL,1,&gt;100M</v>
      </c>
    </row>
    <row r="24" spans="1:5" ht="15.75" x14ac:dyDescent="0.25">
      <c r="A24" s="25" t="s">
        <v>147</v>
      </c>
      <c r="B24" s="51">
        <v>1</v>
      </c>
      <c r="C24" s="32" t="s">
        <v>313</v>
      </c>
      <c r="E24" t="str">
        <f t="shared" si="0"/>
        <v>MC CARRAN INTL,1,&gt;100M</v>
      </c>
    </row>
    <row r="25" spans="1:5" ht="15.75" x14ac:dyDescent="0.25">
      <c r="A25" s="25" t="s">
        <v>225</v>
      </c>
      <c r="B25" s="51">
        <v>1</v>
      </c>
      <c r="C25" s="32" t="s">
        <v>313</v>
      </c>
      <c r="E25" t="str">
        <f t="shared" si="0"/>
        <v>WASHINGTON DULLES INTERNATI,1,&gt;100M</v>
      </c>
    </row>
    <row r="26" spans="1:5" ht="15.75" x14ac:dyDescent="0.25">
      <c r="A26" s="25" t="s">
        <v>79</v>
      </c>
      <c r="B26" s="51">
        <v>1</v>
      </c>
      <c r="C26" s="32" t="s">
        <v>313</v>
      </c>
      <c r="E26" t="str">
        <f t="shared" si="0"/>
        <v>CHICAGO MIDWAY INTERNATIONAL,1,&gt;100M</v>
      </c>
    </row>
    <row r="27" spans="1:5" ht="15.75" x14ac:dyDescent="0.25">
      <c r="A27" s="25" t="s">
        <v>155</v>
      </c>
      <c r="B27" s="51">
        <v>1</v>
      </c>
      <c r="C27" s="32" t="s">
        <v>313</v>
      </c>
      <c r="E27" t="str">
        <f t="shared" si="0"/>
        <v>MINNEAPOLIS-ST PAUL INTL,1,&gt;100M</v>
      </c>
    </row>
    <row r="28" spans="1:5" ht="15.75" x14ac:dyDescent="0.25">
      <c r="A28" s="25" t="s">
        <v>169</v>
      </c>
      <c r="B28" s="51">
        <v>1</v>
      </c>
      <c r="C28" s="32" t="s">
        <v>313</v>
      </c>
      <c r="E28" t="str">
        <f t="shared" si="0"/>
        <v>OAKLAND INTERNATIONAL AIRPORT,1,&gt;100M</v>
      </c>
    </row>
    <row r="29" spans="1:5" ht="15.75" x14ac:dyDescent="0.25">
      <c r="A29" s="25" t="s">
        <v>217</v>
      </c>
      <c r="B29" s="51">
        <v>1</v>
      </c>
      <c r="C29" s="32" t="s">
        <v>313</v>
      </c>
      <c r="E29" t="str">
        <f t="shared" si="0"/>
        <v>TAMPA INTL,1,&gt;100M</v>
      </c>
    </row>
    <row r="30" spans="1:5" ht="15.75" x14ac:dyDescent="0.25">
      <c r="A30" s="25" t="s">
        <v>77</v>
      </c>
      <c r="B30" s="51">
        <v>1</v>
      </c>
      <c r="C30" s="32" t="s">
        <v>313</v>
      </c>
      <c r="E30" t="str">
        <f t="shared" si="0"/>
        <v>CHARLOTTE/DOUGLAS INTL,1,&gt;100M</v>
      </c>
    </row>
    <row r="31" spans="1:5" ht="15.75" x14ac:dyDescent="0.25">
      <c r="A31" s="25" t="s">
        <v>55</v>
      </c>
      <c r="B31" s="51">
        <v>0.68799999999999994</v>
      </c>
      <c r="C31" s="32" t="s">
        <v>314</v>
      </c>
      <c r="E31" t="str">
        <f t="shared" si="0"/>
        <v>ALBANY COUNTY,0.688,&lt;100M</v>
      </c>
    </row>
    <row r="32" spans="1:5" ht="15.75" x14ac:dyDescent="0.25">
      <c r="A32" s="25" t="s">
        <v>57</v>
      </c>
      <c r="B32" s="51">
        <v>0.85399999999999998</v>
      </c>
      <c r="C32" s="32" t="s">
        <v>314</v>
      </c>
      <c r="E32" t="str">
        <f t="shared" si="0"/>
        <v>ALBUQUERQUE INTL,0.854,&lt;100M</v>
      </c>
    </row>
    <row r="33" spans="1:5" ht="15.75" x14ac:dyDescent="0.25">
      <c r="A33" s="25" t="s">
        <v>59</v>
      </c>
      <c r="B33" s="52">
        <v>1</v>
      </c>
      <c r="C33" s="32" t="s">
        <v>314</v>
      </c>
      <c r="E33" t="str">
        <f t="shared" si="0"/>
        <v>ANCHORAGE INTL,1,&lt;100M</v>
      </c>
    </row>
    <row r="34" spans="1:5" ht="15.75" x14ac:dyDescent="0.25">
      <c r="A34" s="25" t="s">
        <v>61</v>
      </c>
      <c r="B34" s="51">
        <v>0.74299999999999999</v>
      </c>
      <c r="C34" s="32" t="s">
        <v>314</v>
      </c>
      <c r="E34" t="str">
        <f t="shared" si="0"/>
        <v>AUSTIN-BERGSTROM INTL,0.743,&lt;100M</v>
      </c>
    </row>
    <row r="35" spans="1:5" ht="15.75" x14ac:dyDescent="0.25">
      <c r="A35" s="25" t="s">
        <v>65</v>
      </c>
      <c r="B35" s="52">
        <v>1</v>
      </c>
      <c r="C35" s="32" t="s">
        <v>314</v>
      </c>
      <c r="E35" t="str">
        <f t="shared" si="0"/>
        <v>BANGOR INTL,1,&lt;100M</v>
      </c>
    </row>
    <row r="36" spans="1:5" ht="15.75" x14ac:dyDescent="0.25">
      <c r="A36" s="25" t="s">
        <v>67</v>
      </c>
      <c r="B36" s="51">
        <v>0.86599999999999999</v>
      </c>
      <c r="C36" s="32" t="s">
        <v>314</v>
      </c>
      <c r="E36" t="str">
        <f t="shared" si="0"/>
        <v>BIRMINGHAM INTL,0.866,&lt;100M</v>
      </c>
    </row>
    <row r="37" spans="1:5" ht="15.75" x14ac:dyDescent="0.25">
      <c r="A37" s="25" t="s">
        <v>69</v>
      </c>
      <c r="B37" s="51">
        <v>1</v>
      </c>
      <c r="C37" s="32" t="s">
        <v>314</v>
      </c>
      <c r="E37" t="str">
        <f t="shared" si="0"/>
        <v>BOISE AIR TERMINAL/GOWEN FIELD,1,&lt;100M</v>
      </c>
    </row>
    <row r="38" spans="1:5" ht="15.75" x14ac:dyDescent="0.25">
      <c r="A38" s="25" t="s">
        <v>71</v>
      </c>
      <c r="B38" s="51">
        <v>1</v>
      </c>
      <c r="C38" s="32" t="s">
        <v>314</v>
      </c>
      <c r="E38" t="str">
        <f t="shared" si="0"/>
        <v>BRADLEY INTL,1,&lt;100M</v>
      </c>
    </row>
    <row r="39" spans="1:5" ht="15.75" x14ac:dyDescent="0.25">
      <c r="A39" s="25" t="s">
        <v>73</v>
      </c>
      <c r="B39" s="51">
        <v>0.77200000000000002</v>
      </c>
      <c r="C39" s="32" t="s">
        <v>314</v>
      </c>
      <c r="E39" t="str">
        <f t="shared" si="0"/>
        <v>BURBANK-GLENDALE-PASADENA,0.772,&lt;100M</v>
      </c>
    </row>
    <row r="40" spans="1:5" ht="15.75" x14ac:dyDescent="0.25">
      <c r="A40" s="25" t="s">
        <v>75</v>
      </c>
      <c r="B40" s="51">
        <v>1</v>
      </c>
      <c r="C40" s="32" t="s">
        <v>314</v>
      </c>
      <c r="E40" t="str">
        <f t="shared" si="0"/>
        <v>CHARLESTON INTL,1,&lt;100M</v>
      </c>
    </row>
    <row r="41" spans="1:5" ht="15.75" x14ac:dyDescent="0.25">
      <c r="A41" s="25" t="s">
        <v>83</v>
      </c>
      <c r="B41" s="51">
        <v>0.51900000000000002</v>
      </c>
      <c r="C41" s="32" t="s">
        <v>314</v>
      </c>
      <c r="E41" t="str">
        <f t="shared" si="0"/>
        <v>CINCINNATI/NORTHERN KENTUCKY,0.519,&lt;100M</v>
      </c>
    </row>
    <row r="42" spans="1:5" ht="15.75" x14ac:dyDescent="0.25">
      <c r="A42" s="25" t="s">
        <v>85</v>
      </c>
      <c r="B42" s="51">
        <v>0.84</v>
      </c>
      <c r="C42" s="32" t="s">
        <v>314</v>
      </c>
      <c r="E42" t="str">
        <f t="shared" si="0"/>
        <v>CLEVELAND-HOPKINS INTL,0.84,&lt;100M</v>
      </c>
    </row>
    <row r="43" spans="1:5" ht="15.75" x14ac:dyDescent="0.25">
      <c r="A43" s="25" t="s">
        <v>87</v>
      </c>
      <c r="B43" s="51">
        <v>1</v>
      </c>
      <c r="C43" s="32" t="s">
        <v>314</v>
      </c>
      <c r="E43" t="str">
        <f t="shared" si="0"/>
        <v>DALLAS LOVE FIELD,1,&lt;100M</v>
      </c>
    </row>
    <row r="44" spans="1:5" ht="15.75" x14ac:dyDescent="0.25">
      <c r="A44" s="25" t="s">
        <v>91</v>
      </c>
      <c r="B44" s="51">
        <v>0.70399999999999996</v>
      </c>
      <c r="C44" s="32" t="s">
        <v>314</v>
      </c>
      <c r="E44" t="str">
        <f t="shared" si="0"/>
        <v>DAYTON INTL,0.704,&lt;100M</v>
      </c>
    </row>
    <row r="45" spans="1:5" ht="15.75" x14ac:dyDescent="0.25">
      <c r="A45" s="25" t="s">
        <v>97</v>
      </c>
      <c r="B45" s="51">
        <v>0.61199999999999999</v>
      </c>
      <c r="C45" s="32" t="s">
        <v>314</v>
      </c>
      <c r="E45" t="str">
        <f t="shared" si="0"/>
        <v>EL PASO INTL,0.612,&lt;100M</v>
      </c>
    </row>
    <row r="46" spans="1:5" ht="15.75" x14ac:dyDescent="0.25">
      <c r="A46" s="25" t="s">
        <v>99</v>
      </c>
      <c r="B46" s="51">
        <v>0.96199999999999997</v>
      </c>
      <c r="C46" s="32" t="s">
        <v>314</v>
      </c>
      <c r="E46" t="str">
        <f t="shared" si="0"/>
        <v>EPPLEY AIRFIELD,0.962,&lt;100M</v>
      </c>
    </row>
    <row r="47" spans="1:5" ht="15.75" x14ac:dyDescent="0.25">
      <c r="A47" s="25" t="s">
        <v>105</v>
      </c>
      <c r="B47" s="51">
        <v>0.59</v>
      </c>
      <c r="C47" s="32" t="s">
        <v>314</v>
      </c>
      <c r="E47" t="str">
        <f t="shared" si="0"/>
        <v>GENERAL MITCHELL INTL,0.59,&lt;100M</v>
      </c>
    </row>
    <row r="48" spans="1:5" ht="15.75" x14ac:dyDescent="0.25">
      <c r="A48" s="25" t="s">
        <v>109</v>
      </c>
      <c r="B48" s="51">
        <v>1</v>
      </c>
      <c r="C48" s="32" t="s">
        <v>314</v>
      </c>
      <c r="E48" t="str">
        <f t="shared" si="0"/>
        <v>GERALD R FORD INTERNATIONAL,1,&lt;100M</v>
      </c>
    </row>
    <row r="49" spans="1:5" ht="15.75" x14ac:dyDescent="0.25">
      <c r="A49" s="25" t="s">
        <v>111</v>
      </c>
      <c r="B49" s="51">
        <v>0.74199999999999999</v>
      </c>
      <c r="C49" s="32" t="s">
        <v>314</v>
      </c>
      <c r="E49" t="str">
        <f t="shared" si="0"/>
        <v>GREATER BUFFALO INTL,0.742,&lt;100M</v>
      </c>
    </row>
    <row r="50" spans="1:5" ht="15.75" x14ac:dyDescent="0.25">
      <c r="A50" s="25" t="s">
        <v>117</v>
      </c>
      <c r="B50" s="51">
        <v>0.95199999999999996</v>
      </c>
      <c r="C50" s="32" t="s">
        <v>314</v>
      </c>
      <c r="E50" t="str">
        <f t="shared" si="0"/>
        <v>HUNTSVILLE INTL-CARL T JONE,0.952,&lt;100M</v>
      </c>
    </row>
    <row r="51" spans="1:5" ht="15.75" x14ac:dyDescent="0.25">
      <c r="A51" s="25" t="s">
        <v>119</v>
      </c>
      <c r="B51" s="51">
        <v>1</v>
      </c>
      <c r="C51" s="32" t="s">
        <v>314</v>
      </c>
      <c r="E51" t="str">
        <f t="shared" si="0"/>
        <v>INDIANAPOLIS INTL,1,&lt;100M</v>
      </c>
    </row>
    <row r="52" spans="1:5" ht="15.75" x14ac:dyDescent="0.25">
      <c r="A52" s="25" t="s">
        <v>121</v>
      </c>
      <c r="B52" s="51">
        <v>0.97099999999999997</v>
      </c>
      <c r="C52" s="32" t="s">
        <v>314</v>
      </c>
      <c r="E52" t="str">
        <f t="shared" si="0"/>
        <v>JACKSON INTERNATIONAL,0.971,&lt;100M</v>
      </c>
    </row>
    <row r="53" spans="1:5" ht="15.75" x14ac:dyDescent="0.25">
      <c r="A53" s="25" t="s">
        <v>123</v>
      </c>
      <c r="B53" s="51">
        <v>0.755</v>
      </c>
      <c r="C53" s="32" t="s">
        <v>314</v>
      </c>
      <c r="E53" t="str">
        <f t="shared" si="0"/>
        <v>JACKSONVILLE INTL,0.755,&lt;100M</v>
      </c>
    </row>
    <row r="54" spans="1:5" ht="15.75" x14ac:dyDescent="0.25">
      <c r="A54" s="25" t="s">
        <v>127</v>
      </c>
      <c r="B54" s="51">
        <v>1</v>
      </c>
      <c r="C54" s="32" t="s">
        <v>314</v>
      </c>
      <c r="E54" t="str">
        <f t="shared" si="0"/>
        <v>JOHN WAYNE AIRPORT-ORANGE C,1,&lt;100M</v>
      </c>
    </row>
    <row r="55" spans="1:5" ht="15.75" x14ac:dyDescent="0.25">
      <c r="A55" s="25" t="s">
        <v>129</v>
      </c>
      <c r="B55" s="51">
        <v>1</v>
      </c>
      <c r="C55" s="32" t="s">
        <v>314</v>
      </c>
      <c r="E55" t="str">
        <f t="shared" si="0"/>
        <v>KAHULUI,1,&lt;100M</v>
      </c>
    </row>
    <row r="56" spans="1:5" ht="15.75" x14ac:dyDescent="0.25">
      <c r="A56" s="25" t="s">
        <v>131</v>
      </c>
      <c r="B56" s="51">
        <v>0.72299999999999998</v>
      </c>
      <c r="C56" s="32" t="s">
        <v>314</v>
      </c>
      <c r="E56" t="str">
        <f t="shared" si="0"/>
        <v>KANSAS CITY INTL,0.723,&lt;100M</v>
      </c>
    </row>
    <row r="57" spans="1:5" ht="15.75" x14ac:dyDescent="0.25">
      <c r="A57" s="25" t="s">
        <v>135</v>
      </c>
      <c r="B57" s="51">
        <v>1</v>
      </c>
      <c r="C57" s="32" t="s">
        <v>314</v>
      </c>
      <c r="E57" t="str">
        <f t="shared" si="0"/>
        <v>LAMBERT-ST LOUIS INTL,1,&lt;100M</v>
      </c>
    </row>
    <row r="58" spans="1:5" ht="15.75" x14ac:dyDescent="0.25">
      <c r="A58" s="25" t="s">
        <v>137</v>
      </c>
      <c r="B58" s="51">
        <v>1</v>
      </c>
      <c r="C58" s="32" t="s">
        <v>314</v>
      </c>
      <c r="E58" t="str">
        <f t="shared" si="0"/>
        <v>LEHIGH VALLEY INTL,1,&lt;100M</v>
      </c>
    </row>
    <row r="59" spans="1:5" ht="15.75" x14ac:dyDescent="0.25">
      <c r="A59" s="25" t="s">
        <v>139</v>
      </c>
      <c r="B59" s="51">
        <v>0.76700000000000002</v>
      </c>
      <c r="C59" s="32" t="s">
        <v>314</v>
      </c>
      <c r="E59" t="str">
        <f t="shared" si="0"/>
        <v>LITTLE ROCK NATIONAL - ADAMS FIELD,0.767,&lt;100M</v>
      </c>
    </row>
    <row r="60" spans="1:5" ht="15.75" x14ac:dyDescent="0.25">
      <c r="A60" s="25" t="s">
        <v>141</v>
      </c>
      <c r="B60" s="52">
        <v>1</v>
      </c>
      <c r="C60" s="32" t="s">
        <v>314</v>
      </c>
      <c r="E60" t="str">
        <f t="shared" si="0"/>
        <v>LONG BEACH /DAUGHERTY FIELD,1,&lt;100M</v>
      </c>
    </row>
    <row r="61" spans="1:5" ht="15.75" x14ac:dyDescent="0.25">
      <c r="A61" s="25" t="s">
        <v>145</v>
      </c>
      <c r="B61" s="52">
        <v>0.90400000000000003</v>
      </c>
      <c r="C61" s="32" t="s">
        <v>314</v>
      </c>
      <c r="E61" t="str">
        <f t="shared" si="0"/>
        <v>LOUISVILLE INTL,0.904,&lt;100M</v>
      </c>
    </row>
    <row r="62" spans="1:5" ht="15.75" x14ac:dyDescent="0.25">
      <c r="A62" s="25" t="s">
        <v>149</v>
      </c>
      <c r="B62" s="52">
        <v>0.78400000000000003</v>
      </c>
      <c r="C62" s="32" t="s">
        <v>314</v>
      </c>
      <c r="E62" t="str">
        <f t="shared" si="0"/>
        <v>MC GHEE TYSON,0.784,&lt;100M</v>
      </c>
    </row>
    <row r="63" spans="1:5" ht="15.75" x14ac:dyDescent="0.25">
      <c r="A63" s="25" t="s">
        <v>151</v>
      </c>
      <c r="B63" s="52">
        <v>0.93500000000000005</v>
      </c>
      <c r="C63" s="32" t="s">
        <v>314</v>
      </c>
      <c r="E63" t="str">
        <f t="shared" si="0"/>
        <v>MEMPHIS INTL,0.935,&lt;100M</v>
      </c>
    </row>
    <row r="64" spans="1:5" ht="15.75" x14ac:dyDescent="0.25">
      <c r="A64" s="25" t="s">
        <v>157</v>
      </c>
      <c r="B64" s="52">
        <v>1</v>
      </c>
      <c r="C64" s="32" t="s">
        <v>314</v>
      </c>
      <c r="E64" t="str">
        <f t="shared" si="0"/>
        <v>MOBILE REGIONAL,1,&lt;100M</v>
      </c>
    </row>
    <row r="65" spans="1:5" ht="15.75" x14ac:dyDescent="0.25">
      <c r="A65" s="25" t="s">
        <v>159</v>
      </c>
      <c r="B65" s="52">
        <v>1</v>
      </c>
      <c r="C65" s="32" t="s">
        <v>314</v>
      </c>
      <c r="E65" t="str">
        <f t="shared" si="0"/>
        <v>MYRTLE BEACH INTL,1,&lt;100M</v>
      </c>
    </row>
    <row r="66" spans="1:5" ht="15.75" x14ac:dyDescent="0.25">
      <c r="A66" s="25" t="s">
        <v>161</v>
      </c>
      <c r="B66" s="52">
        <v>0.82399999999999995</v>
      </c>
      <c r="C66" s="32" t="s">
        <v>314</v>
      </c>
      <c r="E66" t="str">
        <f t="shared" si="0"/>
        <v>NASHVILLE INTL,0.824,&lt;100M</v>
      </c>
    </row>
    <row r="67" spans="1:5" ht="15.75" x14ac:dyDescent="0.25">
      <c r="A67" s="25" t="s">
        <v>163</v>
      </c>
      <c r="B67" s="52">
        <v>1</v>
      </c>
      <c r="C67" s="32" t="s">
        <v>314</v>
      </c>
      <c r="E67" t="str">
        <f t="shared" ref="E67:E90" si="2">_xlfn.CONCAT(A67,$D$2,B67,$D$2,C67)</f>
        <v>NEW ORLEANS INTL,1,&lt;100M</v>
      </c>
    </row>
    <row r="68" spans="1:5" ht="15.75" x14ac:dyDescent="0.25">
      <c r="A68" s="25" t="s">
        <v>167</v>
      </c>
      <c r="B68" s="52">
        <v>0.59299999999999997</v>
      </c>
      <c r="C68" s="32" t="s">
        <v>314</v>
      </c>
      <c r="E68" t="str">
        <f t="shared" si="2"/>
        <v>NORFOLK INTERNATIONAL,0.593,&lt;100M</v>
      </c>
    </row>
    <row r="69" spans="1:5" ht="15.75" x14ac:dyDescent="0.25">
      <c r="A69" s="25" t="s">
        <v>171</v>
      </c>
      <c r="B69" s="52">
        <v>0.66500000000000004</v>
      </c>
      <c r="C69" s="32" t="s">
        <v>314</v>
      </c>
      <c r="E69" t="str">
        <f t="shared" si="2"/>
        <v>ONTARIO INTL,0.665,&lt;100M</v>
      </c>
    </row>
    <row r="70" spans="1:5" ht="15.75" x14ac:dyDescent="0.25">
      <c r="A70" s="25" t="s">
        <v>179</v>
      </c>
      <c r="B70" s="52">
        <v>1</v>
      </c>
      <c r="C70" s="32" t="s">
        <v>314</v>
      </c>
      <c r="E70" t="str">
        <f t="shared" si="2"/>
        <v>PIEDMONT TRIAD INTL,1,&lt;100M</v>
      </c>
    </row>
    <row r="71" spans="1:5" ht="15.75" x14ac:dyDescent="0.25">
      <c r="A71" s="25" t="s">
        <v>181</v>
      </c>
      <c r="B71" s="52">
        <v>0.69299999999999995</v>
      </c>
      <c r="C71" s="32" t="s">
        <v>314</v>
      </c>
      <c r="E71" t="str">
        <f t="shared" si="2"/>
        <v>PITTSBURGH INTERNATIONAL,0.693,&lt;100M</v>
      </c>
    </row>
    <row r="72" spans="1:5" ht="15.75" x14ac:dyDescent="0.25">
      <c r="A72" s="25" t="s">
        <v>183</v>
      </c>
      <c r="B72" s="52">
        <v>0.69199999999999995</v>
      </c>
      <c r="C72" s="32" t="s">
        <v>314</v>
      </c>
      <c r="E72" t="str">
        <f t="shared" si="2"/>
        <v>PORT COLUMBUS INTL,0.692,&lt;100M</v>
      </c>
    </row>
    <row r="73" spans="1:5" ht="15.75" x14ac:dyDescent="0.25">
      <c r="A73" s="25" t="s">
        <v>185</v>
      </c>
      <c r="B73" s="52">
        <v>1</v>
      </c>
      <c r="C73" s="32" t="s">
        <v>314</v>
      </c>
      <c r="E73" t="str">
        <f t="shared" si="2"/>
        <v>PORTLAND INTL,1,&lt;100M</v>
      </c>
    </row>
    <row r="74" spans="1:5" ht="15.75" x14ac:dyDescent="0.25">
      <c r="A74" s="25" t="s">
        <v>187</v>
      </c>
      <c r="B74" s="52">
        <v>0.97699999999999998</v>
      </c>
      <c r="C74" s="32" t="s">
        <v>314</v>
      </c>
      <c r="E74" t="str">
        <f t="shared" si="2"/>
        <v>RALEIGH-DURHAM INTL,0.977,&lt;100M</v>
      </c>
    </row>
    <row r="75" spans="1:5" ht="15.75" x14ac:dyDescent="0.25">
      <c r="A75" s="25" t="s">
        <v>189</v>
      </c>
      <c r="B75" s="52">
        <v>0.57599999999999996</v>
      </c>
      <c r="C75" s="32" t="s">
        <v>314</v>
      </c>
      <c r="E75" t="str">
        <f t="shared" si="2"/>
        <v>RENO/TAHOE INTL,0.576,&lt;100M</v>
      </c>
    </row>
    <row r="76" spans="1:5" ht="15.75" x14ac:dyDescent="0.25">
      <c r="A76" s="25" t="s">
        <v>191</v>
      </c>
      <c r="B76" s="52">
        <v>1</v>
      </c>
      <c r="C76" s="32" t="s">
        <v>314</v>
      </c>
      <c r="E76" t="str">
        <f t="shared" si="2"/>
        <v>RICHMOND INTL,1,&lt;100M</v>
      </c>
    </row>
    <row r="77" spans="1:5" ht="15.75" x14ac:dyDescent="0.25">
      <c r="A77" s="25" t="s">
        <v>195</v>
      </c>
      <c r="B77" s="52">
        <v>1</v>
      </c>
      <c r="C77" s="32" t="s">
        <v>314</v>
      </c>
      <c r="E77" t="str">
        <f t="shared" si="2"/>
        <v>SACRAMENTO METRO,1,&lt;100M</v>
      </c>
    </row>
    <row r="78" spans="1:5" ht="15.75" x14ac:dyDescent="0.25">
      <c r="A78" s="25" t="s">
        <v>197</v>
      </c>
      <c r="B78" s="52">
        <v>1</v>
      </c>
      <c r="C78" s="32" t="s">
        <v>314</v>
      </c>
      <c r="E78" t="str">
        <f t="shared" si="2"/>
        <v>SALT LAKE CITY INTL,1,&lt;100M</v>
      </c>
    </row>
    <row r="79" spans="1:5" ht="15.75" x14ac:dyDescent="0.25">
      <c r="A79" s="25" t="s">
        <v>199</v>
      </c>
      <c r="B79" s="52">
        <v>0.94499999999999995</v>
      </c>
      <c r="C79" s="32" t="s">
        <v>314</v>
      </c>
      <c r="E79" t="str">
        <f t="shared" si="2"/>
        <v>SAN ANTONIO INTL,0.945,&lt;100M</v>
      </c>
    </row>
    <row r="80" spans="1:5" ht="15.75" x14ac:dyDescent="0.25">
      <c r="A80" s="25" t="s">
        <v>205</v>
      </c>
      <c r="B80" s="52">
        <v>1</v>
      </c>
      <c r="C80" s="32" t="s">
        <v>314</v>
      </c>
      <c r="E80" t="str">
        <f t="shared" si="2"/>
        <v>SAN JOSE INTERNATION,1,&lt;100M</v>
      </c>
    </row>
    <row r="81" spans="1:5" ht="15.75" x14ac:dyDescent="0.25">
      <c r="A81" s="25" t="s">
        <v>207</v>
      </c>
      <c r="B81" s="52">
        <v>0.80900000000000005</v>
      </c>
      <c r="C81" s="32" t="s">
        <v>314</v>
      </c>
      <c r="E81" t="str">
        <f t="shared" si="2"/>
        <v>SARASOTA/BRADENTON INTL,0.809,&lt;100M</v>
      </c>
    </row>
    <row r="82" spans="1:5" ht="15.75" x14ac:dyDescent="0.25">
      <c r="A82" s="25" t="s">
        <v>209</v>
      </c>
      <c r="B82" s="52">
        <v>0.70899999999999996</v>
      </c>
      <c r="C82" s="32" t="s">
        <v>314</v>
      </c>
      <c r="E82" t="str">
        <f t="shared" si="2"/>
        <v>SAVANNAH INTERNATIONAL,0.709,&lt;100M</v>
      </c>
    </row>
    <row r="83" spans="1:5" ht="15.75" x14ac:dyDescent="0.25">
      <c r="A83" s="25" t="s">
        <v>213</v>
      </c>
      <c r="B83" s="52">
        <v>0.64100000000000001</v>
      </c>
      <c r="C83" s="32" t="s">
        <v>314</v>
      </c>
      <c r="E83" t="str">
        <f t="shared" si="2"/>
        <v>SOUTHWEST FLORIDA INTL,0.641,&lt;100M</v>
      </c>
    </row>
    <row r="84" spans="1:5" ht="15.75" x14ac:dyDescent="0.25">
      <c r="A84" s="25" t="s">
        <v>215</v>
      </c>
      <c r="B84" s="52">
        <v>0.82299999999999995</v>
      </c>
      <c r="C84" s="32" t="s">
        <v>314</v>
      </c>
      <c r="E84" t="str">
        <f t="shared" si="2"/>
        <v>SPOKANE INTL,0.823,&lt;100M</v>
      </c>
    </row>
    <row r="85" spans="1:5" ht="15.75" x14ac:dyDescent="0.25">
      <c r="A85" s="25" t="s">
        <v>219</v>
      </c>
      <c r="B85" s="52">
        <v>0.91300000000000003</v>
      </c>
      <c r="C85" s="32" t="s">
        <v>314</v>
      </c>
      <c r="E85" t="str">
        <f t="shared" si="2"/>
        <v>THEODORE FRANCIS GREEN,0.913,&lt;100M</v>
      </c>
    </row>
    <row r="86" spans="1:5" ht="15.75" x14ac:dyDescent="0.25">
      <c r="A86" s="25" t="s">
        <v>221</v>
      </c>
      <c r="B86" s="52">
        <v>0.745</v>
      </c>
      <c r="C86" s="32" t="s">
        <v>314</v>
      </c>
      <c r="E86" t="str">
        <f t="shared" si="2"/>
        <v>TUCSON INTL,0.745,&lt;100M</v>
      </c>
    </row>
    <row r="87" spans="1:5" ht="15.75" x14ac:dyDescent="0.25">
      <c r="A87" s="25" t="s">
        <v>223</v>
      </c>
      <c r="B87" s="52">
        <v>0.86299999999999999</v>
      </c>
      <c r="C87" s="32" t="s">
        <v>314</v>
      </c>
      <c r="E87" t="str">
        <f t="shared" si="2"/>
        <v>TULSA INTL,0.863,&lt;100M</v>
      </c>
    </row>
    <row r="88" spans="1:5" ht="15.75" x14ac:dyDescent="0.25">
      <c r="A88" s="25" t="s">
        <v>227</v>
      </c>
      <c r="B88" s="52">
        <v>0.78700000000000003</v>
      </c>
      <c r="C88" s="32" t="s">
        <v>314</v>
      </c>
      <c r="E88" t="str">
        <f t="shared" si="2"/>
        <v>WICHITA MID-CONTINENT,0.787,&lt;100M</v>
      </c>
    </row>
    <row r="89" spans="1:5" ht="15.75" x14ac:dyDescent="0.25">
      <c r="A89" s="25" t="s">
        <v>229</v>
      </c>
      <c r="B89" s="52">
        <v>1</v>
      </c>
      <c r="C89" s="32" t="s">
        <v>314</v>
      </c>
      <c r="E89" t="str">
        <f t="shared" si="2"/>
        <v>WILL ROGERS WORLD,1,&lt;100M</v>
      </c>
    </row>
    <row r="90" spans="1:5" ht="15.75" x14ac:dyDescent="0.25">
      <c r="A90" s="25" t="s">
        <v>231</v>
      </c>
      <c r="B90" s="52">
        <v>0.83499999999999996</v>
      </c>
      <c r="C90" s="32" t="s">
        <v>314</v>
      </c>
      <c r="E90" t="str">
        <f t="shared" si="2"/>
        <v>WILLIAM P HOBBY,0.835,&lt;100M</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664C84AAAD9E7478741B5F3A6FD5EE3" ma:contentTypeVersion="11" ma:contentTypeDescription="Create a new document." ma:contentTypeScope="" ma:versionID="2a5992522445427cd54d9bf5f1c5d2a4">
  <xsd:schema xmlns:xsd="http://www.w3.org/2001/XMLSchema" xmlns:xs="http://www.w3.org/2001/XMLSchema" xmlns:p="http://schemas.microsoft.com/office/2006/metadata/properties" xmlns:ns3="e42960f1-6e65-4322-8037-f5efade87e8d" xmlns:ns4="21479969-c426-46e1-86bd-4c2b49ddec62" targetNamespace="http://schemas.microsoft.com/office/2006/metadata/properties" ma:root="true" ma:fieldsID="3a11b96d7ca8dc84d562a36d8c1485a2" ns3:_="" ns4:_="">
    <xsd:import namespace="e42960f1-6e65-4322-8037-f5efade87e8d"/>
    <xsd:import namespace="21479969-c426-46e1-86bd-4c2b49ddec62"/>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42960f1-6e65-4322-8037-f5efade87e8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1479969-c426-46e1-86bd-4c2b49ddec6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B3ADCBA-3C1D-48E6-BF38-3570582FFC2D}">
  <ds:schemaRefs>
    <ds:schemaRef ds:uri="http://schemas.microsoft.com/sharepoint/v3/contenttype/forms"/>
  </ds:schemaRefs>
</ds:datastoreItem>
</file>

<file path=customXml/itemProps2.xml><?xml version="1.0" encoding="utf-8"?>
<ds:datastoreItem xmlns:ds="http://schemas.openxmlformats.org/officeDocument/2006/customXml" ds:itemID="{AB1DA185-92B9-468D-A54B-F3F5A842213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42960f1-6e65-4322-8037-f5efade87e8d"/>
    <ds:schemaRef ds:uri="21479969-c426-46e1-86bd-4c2b49ddec6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397110D-D2DA-4D72-8321-4B5FD76C3CB3}">
  <ds:schemaRefs>
    <ds:schemaRef ds:uri="http://purl.org/dc/elements/1.1/"/>
    <ds:schemaRef ds:uri="http://schemas.microsoft.com/office/2006/metadata/properties"/>
    <ds:schemaRef ds:uri="http://purl.org/dc/terms/"/>
    <ds:schemaRef ds:uri="e42960f1-6e65-4322-8037-f5efade87e8d"/>
    <ds:schemaRef ds:uri="http://schemas.microsoft.com/office/infopath/2007/PartnerControls"/>
    <ds:schemaRef ds:uri="http://schemas.microsoft.com/office/2006/documentManagement/types"/>
    <ds:schemaRef ds:uri="http://schemas.openxmlformats.org/package/2006/metadata/core-properties"/>
    <ds:schemaRef ds:uri="21479969-c426-46e1-86bd-4c2b49ddec62"/>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DEAModel_Airports &gt;=$100M</vt:lpstr>
      <vt:lpstr>DEA &lt;=$100M</vt:lpstr>
      <vt:lpstr>DEA&lt;=$100M </vt:lpstr>
      <vt:lpstr>DEA&gt;=$100M</vt:lpstr>
      <vt:lpstr>Pivot</vt:lpstr>
      <vt:lpstr>Raw Data_Airports</vt:lpstr>
      <vt:lpstr>Concats</vt:lpstr>
    </vt:vector>
  </TitlesOfParts>
  <Company>University of Cincinnati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J. Sweeney</dc:creator>
  <cp:lastModifiedBy>Morgan Heinly</cp:lastModifiedBy>
  <dcterms:created xsi:type="dcterms:W3CDTF">1997-09-03T17:43:05Z</dcterms:created>
  <dcterms:modified xsi:type="dcterms:W3CDTF">2022-05-02T21:44:56Z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0x0101005664C84AAAD9E7478741B5F3A6FD5EE3</vt:lpwstr>
  </property>
</Properties>
</file>