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rgenhenry/Documents/"/>
    </mc:Choice>
  </mc:AlternateContent>
  <xr:revisionPtr revIDLastSave="0" documentId="8_{FED28441-6BAB-BC4C-AD43-C352A3DC8685}" xr6:coauthVersionLast="47" xr6:coauthVersionMax="47" xr10:uidLastSave="{00000000-0000-0000-0000-000000000000}"/>
  <bookViews>
    <workbookView xWindow="1260" yWindow="500" windowWidth="16640" windowHeight="15780" firstSheet="2" activeTab="5" xr2:uid="{00000000-000D-0000-FFFF-FFFF00000000}"/>
  </bookViews>
  <sheets>
    <sheet name="Crowdfunding" sheetId="1" r:id="rId1"/>
    <sheet name="Pivot Table (Parent Category)" sheetId="4" r:id="rId2"/>
    <sheet name="Pivot Table (SubCategory)" sheetId="5" r:id="rId3"/>
    <sheet name="Pivot Table (Years)" sheetId="17" r:id="rId4"/>
    <sheet name="Crowd Funding Goal Analysis" sheetId="15" r:id="rId5"/>
    <sheet name="Statistical Analysis" sheetId="16" r:id="rId6"/>
  </sheets>
  <externalReferences>
    <externalReference r:id="rId7"/>
  </externalReferences>
  <definedNames>
    <definedName name="_xlnm._FilterDatabase" localSheetId="0" hidden="1">Crowdfunding!$A$1:$T$1001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7" l="1"/>
  <c r="G11" i="17"/>
  <c r="S2" i="1"/>
  <c r="H15" i="16"/>
  <c r="H14" i="16"/>
  <c r="H13" i="16"/>
  <c r="H12" i="16"/>
  <c r="H11" i="16"/>
  <c r="H10" i="16"/>
  <c r="H7" i="16"/>
  <c r="H6" i="16"/>
  <c r="H5" i="16"/>
  <c r="H4" i="16"/>
  <c r="H3" i="16"/>
  <c r="H2" i="16"/>
  <c r="B2" i="15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5"/>
  <c r="E13" i="15" s="1"/>
  <c r="B12" i="15"/>
  <c r="B11" i="15"/>
  <c r="E11" i="15" s="1"/>
  <c r="B10" i="15"/>
  <c r="E10" i="15" s="1"/>
  <c r="B9" i="15"/>
  <c r="E9" i="15" s="1"/>
  <c r="B8" i="15"/>
  <c r="B7" i="15"/>
  <c r="E7" i="15" s="1"/>
  <c r="B6" i="15"/>
  <c r="E6" i="15" s="1"/>
  <c r="B5" i="15"/>
  <c r="E5" i="15" s="1"/>
  <c r="B4" i="15"/>
  <c r="B3" i="15"/>
  <c r="E3" i="1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G3" i="15" l="1"/>
  <c r="G7" i="15"/>
  <c r="G11" i="15"/>
  <c r="H3" i="15"/>
  <c r="H7" i="15"/>
  <c r="H11" i="15"/>
  <c r="G5" i="15"/>
  <c r="G9" i="15"/>
  <c r="G13" i="15"/>
  <c r="H5" i="15"/>
  <c r="H9" i="15"/>
  <c r="H13" i="15"/>
  <c r="G6" i="15"/>
  <c r="G10" i="15"/>
  <c r="H6" i="15"/>
  <c r="H10" i="15"/>
  <c r="E12" i="15"/>
  <c r="F12" i="15" s="1"/>
  <c r="E8" i="15"/>
  <c r="H8" i="15" s="1"/>
  <c r="E4" i="15"/>
  <c r="H4" i="15" s="1"/>
  <c r="F11" i="15"/>
  <c r="F7" i="15"/>
  <c r="F3" i="15"/>
  <c r="F10" i="15"/>
  <c r="F6" i="15"/>
  <c r="F13" i="15"/>
  <c r="F9" i="15"/>
  <c r="F5" i="15"/>
  <c r="E2" i="15"/>
  <c r="H2" i="15" s="1"/>
  <c r="G2" i="15" l="1"/>
  <c r="F8" i="15"/>
  <c r="G12" i="15"/>
  <c r="F2" i="15"/>
  <c r="H12" i="15"/>
  <c r="G8" i="15"/>
  <c r="G4" i="15"/>
  <c r="F4" i="15"/>
  <c r="I2" i="1"/>
  <c r="H2" i="1"/>
</calcChain>
</file>

<file path=xl/sharedStrings.xml><?xml version="1.0" encoding="utf-8"?>
<sst xmlns="http://schemas.openxmlformats.org/spreadsheetml/2006/main" count="7074" uniqueCount="2120">
  <si>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</si>
  <si>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</si>
  <si>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</si>
  <si>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</si>
  <si>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</si>
  <si>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</si>
  <si>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</si>
  <si>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</si>
  <si>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</si>
  <si>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</si>
  <si>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</si>
  <si>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</si>
  <si>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</si>
  <si>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</si>
  <si>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</si>
  <si>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</si>
  <si>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</si>
  <si>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</si>
  <si>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</si>
  <si>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</si>
  <si>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</si>
  <si>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</si>
  <si>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</si>
  <si>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</si>
  <si>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</si>
  <si>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</si>
  <si>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</si>
  <si>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</si>
  <si>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</si>
  <si>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</si>
  <si>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</si>
  <si>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</si>
  <si>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</si>
  <si>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</si>
  <si>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</si>
  <si>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</si>
  <si>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</si>
  <si>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</si>
  <si>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</si>
  <si>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</si>
  <si>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</si>
  <si>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</si>
  <si>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</si>
  <si>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</si>
  <si>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</si>
  <si>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</si>
  <si>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</si>
  <si>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</si>
  <si>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</si>
  <si>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</si>
  <si>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</si>
  <si>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</si>
  <si>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</si>
  <si>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</si>
  <si>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</si>
  <si>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</si>
  <si>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</si>
  <si>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</si>
  <si>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</si>
  <si>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</si>
  <si>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</si>
  <si>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</si>
  <si>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</si>
  <si>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</si>
  <si>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</si>
  <si>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</si>
  <si>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</si>
  <si>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</si>
  <si>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</si>
  <si>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</si>
  <si>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</si>
  <si>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</si>
  <si>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</si>
  <si>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</si>
  <si>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</si>
  <si>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</si>
  <si>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</si>
  <si>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</si>
  <si>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</si>
  <si>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</si>
  <si>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</si>
  <si>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</si>
  <si>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</si>
  <si>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</si>
  <si>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</si>
  <si>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</si>
  <si>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</si>
  <si>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</si>
  <si>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</si>
  <si>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</si>
  <si>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</si>
  <si>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</si>
  <si>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</si>
  <si>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</si>
  <si>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</si>
  <si>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</si>
  <si>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</si>
  <si>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</si>
  <si>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</si>
  <si>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</si>
  <si>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</si>
  <si>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</si>
  <si>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</si>
  <si>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</si>
  <si>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</si>
  <si>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</si>
  <si>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</si>
  <si>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</si>
  <si>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</si>
  <si>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</si>
  <si>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</si>
  <si>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</si>
  <si>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</si>
  <si>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</si>
  <si>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</si>
  <si>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</si>
  <si>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</si>
  <si>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</si>
  <si>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</si>
  <si>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</si>
  <si>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</si>
  <si>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</si>
  <si>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</si>
  <si>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</si>
  <si>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</si>
  <si>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</si>
  <si>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</si>
  <si>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</si>
  <si>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</si>
  <si>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</si>
  <si>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</si>
  <si>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</si>
  <si>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</si>
  <si>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</si>
  <si>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</si>
  <si>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</si>
  <si>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</si>
  <si>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</si>
  <si>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</si>
  <si>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</si>
  <si>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</si>
  <si>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</si>
  <si>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</si>
  <si>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</si>
  <si>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</si>
  <si>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</si>
  <si>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</si>
  <si>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</si>
  <si>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</si>
  <si>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</si>
  <si>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</si>
  <si>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</si>
  <si>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</si>
  <si>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</si>
  <si>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</si>
  <si>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</si>
  <si>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</si>
  <si>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</si>
  <si>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</si>
  <si>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</si>
  <si>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</si>
  <si>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</si>
  <si>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</si>
  <si>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</si>
  <si>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</si>
  <si>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</si>
  <si>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</si>
  <si>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</si>
  <si>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</si>
  <si>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</si>
  <si>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</si>
  <si>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</si>
  <si>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</si>
  <si>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</si>
  <si>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</si>
  <si>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</si>
  <si>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</si>
  <si>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</si>
  <si>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</si>
  <si>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</si>
  <si>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</si>
  <si>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</si>
  <si>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</si>
  <si>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</si>
  <si>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</si>
  <si>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</si>
  <si>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</si>
  <si>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</si>
  <si>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</si>
  <si>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</si>
  <si>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</si>
  <si>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</si>
  <si>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</si>
  <si>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</si>
  <si>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</si>
  <si>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</si>
  <si>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</si>
  <si>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</si>
  <si>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</si>
  <si>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</si>
  <si>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</si>
  <si>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</si>
  <si>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</si>
  <si>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</si>
  <si>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</si>
  <si>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</si>
  <si>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</si>
  <si>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</si>
  <si>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</si>
  <si>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</si>
  <si>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</si>
  <si>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</si>
  <si>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</si>
  <si>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</si>
  <si>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</si>
  <si>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</si>
  <si>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</si>
  <si>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</si>
  <si>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</si>
  <si>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</si>
  <si>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</si>
  <si>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</si>
  <si>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</si>
  <si>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</si>
  <si>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</si>
  <si>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</si>
  <si>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</si>
  <si>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</si>
  <si>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</si>
  <si>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</si>
  <si>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</si>
  <si>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</si>
  <si>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</si>
  <si>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</si>
  <si>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</si>
  <si>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</si>
  <si>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</si>
  <si>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</si>
  <si>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</si>
  <si>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</si>
  <si>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</si>
  <si>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</si>
  <si>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</si>
  <si>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</si>
  <si>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</si>
  <si>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</si>
  <si>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</si>
  <si>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</si>
  <si>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</si>
  <si>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</si>
  <si>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</si>
  <si>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</si>
  <si>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</si>
  <si>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</si>
  <si>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</si>
  <si>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</si>
  <si>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</si>
  <si>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</si>
  <si>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</si>
  <si>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</si>
  <si>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</si>
  <si>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</si>
  <si>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</si>
  <si>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</si>
  <si>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</si>
  <si>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</si>
  <si>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</si>
  <si>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</si>
  <si>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</si>
  <si>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</si>
  <si>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</si>
  <si>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</si>
  <si>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</si>
  <si>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</si>
  <si>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</si>
  <si>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</si>
  <si>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</si>
  <si>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</si>
  <si>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</si>
  <si>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</si>
  <si>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</si>
  <si>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</si>
  <si>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</si>
  <si>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</si>
  <si>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</si>
  <si>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</si>
  <si>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</si>
  <si>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</si>
  <si>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</si>
  <si>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</si>
  <si>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</si>
  <si>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</si>
  <si>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</si>
  <si>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</si>
  <si>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</si>
  <si>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</si>
  <si>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</si>
  <si>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</si>
  <si>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</si>
  <si>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</si>
  <si>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</si>
  <si>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</si>
  <si>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</si>
  <si>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</si>
  <si>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</si>
  <si>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</si>
  <si>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</si>
  <si>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</si>
  <si>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</si>
  <si>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</si>
  <si>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</si>
  <si>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</si>
  <si>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</si>
  <si>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</si>
  <si>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</si>
  <si>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</si>
  <si>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</si>
  <si>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</si>
  <si>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</si>
  <si>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</si>
  <si>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</si>
  <si>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</si>
  <si>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</si>
  <si>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</si>
  <si>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</si>
  <si>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</si>
  <si>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</si>
  <si>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</si>
  <si>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</si>
  <si>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</si>
  <si>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</si>
  <si>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</si>
  <si>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</si>
  <si>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</si>
  <si>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</si>
  <si>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</si>
  <si>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</si>
  <si>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</si>
  <si>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</si>
  <si>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</si>
  <si>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</si>
  <si>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</si>
  <si>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</si>
  <si>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</si>
  <si>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</si>
  <si>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</si>
  <si>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</si>
  <si>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</si>
  <si>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</si>
  <si>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</si>
  <si>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</si>
  <si>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</si>
  <si>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</si>
  <si>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</si>
  <si>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</si>
  <si>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</si>
  <si>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</si>
  <si>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</si>
  <si>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</si>
  <si>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</si>
  <si>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</si>
  <si>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</si>
  <si>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</si>
  <si>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</si>
  <si>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</si>
  <si>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</si>
  <si>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</si>
  <si>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</si>
  <si>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</si>
  <si>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</si>
  <si>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</si>
  <si>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</si>
  <si>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</si>
  <si>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</si>
  <si>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</si>
  <si>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</si>
  <si>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</si>
  <si>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</si>
  <si>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</si>
  <si>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</si>
  <si>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</si>
  <si>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</si>
  <si>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</si>
  <si>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</si>
  <si>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</si>
  <si>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</si>
  <si>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</si>
  <si>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</si>
  <si>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</si>
  <si>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</si>
  <si>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</si>
  <si>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</si>
  <si>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</si>
  <si>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</si>
  <si>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</si>
  <si>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</si>
  <si>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</si>
  <si>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</si>
  <si>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</si>
  <si>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</si>
  <si>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</si>
  <si>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</si>
  <si>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</si>
  <si>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</si>
  <si>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</si>
  <si>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</si>
  <si>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</si>
  <si>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</si>
  <si>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</si>
  <si>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</si>
  <si>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</si>
  <si>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</si>
  <si>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</si>
  <si>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</si>
  <si>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</si>
  <si>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</si>
  <si>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</si>
  <si>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</si>
  <si>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</si>
  <si>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</si>
  <si>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</si>
  <si>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</si>
  <si>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</si>
  <si>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</si>
  <si>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</si>
  <si>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</si>
  <si>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</si>
  <si>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</si>
  <si>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</si>
  <si>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</si>
  <si>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</si>
  <si>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</si>
  <si>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</si>
  <si>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</si>
  <si>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</si>
  <si>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</si>
  <si>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</si>
  <si>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</si>
  <si>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</si>
  <si>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</si>
  <si>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</si>
  <si>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</si>
  <si>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</si>
  <si>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</si>
  <si>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</si>
  <si>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</si>
  <si>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</si>
  <si>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</si>
  <si>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</si>
  <si>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</si>
  <si>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</si>
  <si>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</si>
  <si>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</si>
  <si>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</si>
  <si>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</si>
  <si>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</si>
  <si>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</si>
  <si>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</si>
  <si>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</si>
  <si>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</si>
  <si>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</si>
  <si>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</si>
  <si>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</si>
  <si>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</si>
  <si>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</si>
  <si>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</si>
  <si>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</si>
  <si>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</si>
  <si>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</si>
  <si>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</si>
  <si>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</si>
  <si>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</si>
  <si>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</si>
  <si>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</si>
  <si>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</si>
  <si>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</si>
  <si>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</si>
  <si>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</si>
  <si>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</si>
  <si>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</si>
  <si>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</si>
  <si>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</si>
  <si>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</si>
  <si>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</si>
  <si>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</si>
  <si>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</si>
  <si>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</si>
  <si>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</si>
  <si>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</si>
  <si>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</si>
  <si>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</si>
  <si>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</si>
  <si>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</si>
  <si>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</si>
  <si>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</si>
  <si>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</si>
  <si>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</si>
  <si>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</si>
  <si>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</si>
  <si>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</si>
  <si>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</si>
  <si>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</si>
  <si>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</si>
  <si>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</si>
  <si>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</si>
  <si>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</si>
  <si>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</si>
  <si>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</si>
  <si>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</si>
  <si>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</si>
  <si>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</si>
  <si>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</si>
  <si>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</si>
  <si>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</si>
  <si>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</si>
  <si>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</si>
  <si>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</si>
  <si>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</si>
  <si>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</si>
  <si>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</si>
  <si>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</si>
  <si>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</si>
  <si>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</si>
  <si>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</si>
  <si>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</si>
  <si>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</si>
  <si>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</si>
  <si>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</si>
  <si>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</si>
  <si>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</si>
  <si>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</si>
  <si>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</si>
  <si>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</si>
  <si>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</si>
  <si>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</si>
  <si>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</si>
  <si>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</si>
  <si>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</si>
  <si>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</si>
  <si>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</si>
  <si>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</si>
  <si>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</si>
  <si>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</si>
  <si>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</si>
  <si>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</si>
  <si>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</si>
  <si>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</si>
  <si>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</si>
  <si>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</si>
  <si>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</si>
  <si>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</si>
  <si>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</si>
  <si>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</si>
  <si>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</si>
  <si>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</si>
  <si>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</si>
  <si>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</si>
  <si>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</si>
  <si>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</si>
  <si>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</si>
  <si>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</si>
  <si>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</si>
  <si>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</si>
  <si>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</si>
  <si>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</si>
  <si>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</si>
  <si>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</si>
  <si>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</si>
  <si>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</si>
  <si>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</si>
  <si>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</si>
  <si>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</si>
  <si>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</si>
  <si>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</si>
  <si>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</si>
  <si>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</si>
  <si>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</si>
  <si>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</si>
  <si>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</si>
  <si>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</si>
  <si>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</si>
  <si>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</si>
  <si>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</si>
  <si>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</si>
  <si>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</si>
  <si>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</si>
  <si>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</si>
  <si>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</si>
  <si>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</si>
  <si>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</si>
  <si>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</si>
  <si>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</si>
  <si>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</si>
  <si>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</si>
  <si>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</si>
  <si>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</si>
  <si>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</si>
  <si>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</si>
  <si>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</si>
  <si>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</si>
  <si>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</si>
  <si>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</si>
  <si>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</si>
  <si>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</si>
  <si>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</si>
  <si>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</si>
  <si>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</si>
  <si>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</si>
  <si>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</si>
  <si>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</si>
  <si>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</si>
  <si>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</si>
  <si>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</si>
  <si>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</si>
  <si>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</si>
  <si>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</si>
  <si>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</si>
  <si>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</si>
  <si>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</si>
  <si>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</si>
  <si>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</si>
  <si>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</si>
  <si>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</si>
  <si>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</si>
  <si>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</si>
  <si>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</si>
  <si>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</si>
  <si>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</si>
  <si>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</si>
  <si>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</si>
  <si>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</si>
  <si>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</si>
  <si>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</si>
  <si>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</si>
  <si>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</si>
  <si>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</si>
  <si>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</si>
  <si>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</si>
  <si>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</si>
  <si>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</si>
  <si>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</si>
  <si>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</si>
  <si>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</si>
  <si>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</si>
  <si>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</si>
  <si>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</si>
  <si>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</si>
  <si>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</si>
  <si>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</si>
  <si>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</si>
  <si>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</si>
  <si>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</si>
  <si>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</si>
  <si>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</si>
  <si>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</si>
  <si>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</si>
  <si>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</si>
  <si>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</si>
  <si>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</si>
  <si>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</si>
  <si>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</si>
  <si>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</si>
  <si>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</si>
  <si>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</si>
  <si>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</si>
  <si>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</si>
  <si>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</si>
  <si>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</si>
  <si>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</si>
  <si>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</si>
  <si>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</si>
  <si>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</si>
  <si>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</si>
  <si>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</si>
  <si>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</si>
  <si>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</si>
  <si>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</si>
  <si>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</si>
  <si>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</si>
  <si>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</si>
  <si>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</si>
  <si>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</si>
  <si>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</si>
  <si>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</si>
  <si>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</si>
  <si>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</si>
  <si>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</si>
  <si>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</si>
  <si>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</si>
  <si>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</si>
  <si>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</si>
  <si>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</si>
  <si>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</si>
  <si>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</si>
  <si>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</si>
  <si>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</si>
  <si>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</si>
  <si>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</si>
  <si>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</si>
  <si>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</si>
  <si>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</si>
  <si>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</si>
  <si>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</si>
  <si>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</si>
  <si>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</si>
  <si>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</si>
  <si>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</si>
  <si>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</si>
  <si>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</si>
  <si>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</si>
  <si>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</si>
  <si>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</si>
  <si>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</si>
  <si>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</si>
  <si>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</si>
  <si>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</si>
  <si>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</si>
  <si>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</si>
  <si>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</si>
  <si>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</si>
  <si>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</si>
  <si>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</si>
  <si>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</si>
  <si>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</si>
  <si>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</si>
  <si>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</si>
  <si>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</si>
  <si>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</si>
  <si>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</si>
  <si>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</si>
  <si>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</si>
  <si>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</si>
  <si>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</si>
  <si>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</si>
  <si>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</si>
  <si>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</si>
  <si>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</si>
  <si>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</si>
  <si>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</si>
  <si>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</si>
  <si>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</si>
  <si>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</si>
  <si>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</si>
  <si>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</si>
  <si>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</si>
  <si>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</si>
  <si>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</si>
  <si>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</si>
  <si>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</si>
  <si>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</si>
  <si>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</si>
  <si>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</si>
  <si>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</si>
  <si>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</si>
  <si>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</si>
  <si>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</si>
  <si>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</si>
  <si>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</si>
  <si>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</si>
  <si>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</si>
  <si>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</si>
  <si>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</si>
  <si>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</si>
  <si>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</si>
  <si>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</si>
  <si>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</si>
  <si>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</si>
  <si>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</si>
  <si>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</si>
  <si>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</si>
  <si>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</si>
  <si>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</si>
  <si>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</si>
  <si>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</si>
  <si>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</si>
  <si>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</si>
  <si>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</si>
  <si>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</si>
  <si>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</si>
  <si>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</si>
  <si>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</si>
  <si>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</si>
  <si>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</si>
  <si>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</si>
  <si>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</si>
  <si>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</si>
  <si>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</si>
  <si>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</si>
  <si>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</si>
  <si>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</si>
  <si>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</si>
  <si>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</si>
  <si>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</si>
  <si>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</si>
  <si>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</si>
  <si>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</si>
  <si>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</si>
  <si>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</si>
  <si>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</si>
  <si>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</si>
  <si>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</si>
  <si>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</si>
  <si>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</si>
  <si>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</si>
  <si>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</si>
  <si>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</si>
  <si>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</si>
  <si>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</si>
  <si>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</si>
  <si>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</si>
  <si>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</si>
  <si>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</si>
  <si>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</si>
  <si>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</si>
  <si>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</si>
  <si>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</si>
  <si>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</si>
  <si>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</si>
  <si>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</si>
  <si>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</si>
  <si>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</si>
  <si>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</si>
  <si>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</si>
  <si>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</si>
  <si>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</si>
  <si>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</si>
  <si>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</si>
  <si>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</si>
  <si>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</si>
  <si>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</si>
  <si>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</si>
  <si>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</si>
  <si>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</si>
  <si>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</si>
  <si>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</si>
  <si>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</si>
  <si>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</si>
  <si>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</si>
  <si>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</si>
  <si>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</si>
  <si>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</si>
  <si>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</si>
  <si>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</si>
  <si>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</si>
  <si>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</si>
  <si>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</si>
  <si>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</si>
  <si>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</si>
  <si>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</si>
  <si>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</si>
  <si>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</si>
  <si>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</si>
  <si>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</si>
  <si>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</si>
  <si>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</si>
  <si>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</si>
  <si>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</si>
  <si>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</si>
  <si>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</si>
  <si>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</si>
  <si>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</si>
  <si>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</si>
  <si>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</si>
  <si>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</si>
  <si>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</si>
  <si>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</si>
  <si>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</si>
  <si>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</si>
  <si>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</si>
  <si>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</si>
  <si>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</si>
  <si>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</si>
  <si>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</si>
  <si>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</si>
  <si>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</si>
  <si>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</si>
  <si>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</si>
  <si>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</si>
  <si>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</si>
  <si>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</si>
  <si>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</si>
  <si>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</si>
  <si>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</si>
  <si>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</si>
  <si>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</si>
  <si>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</si>
  <si>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</si>
  <si>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</si>
  <si>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</si>
  <si>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</si>
  <si>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</si>
  <si>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</si>
  <si>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</si>
  <si>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</si>
  <si>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</si>
  <si>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</si>
  <si>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</si>
  <si>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</si>
  <si>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</si>
  <si>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</si>
  <si>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</si>
  <si>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</si>
  <si>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</si>
  <si>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</si>
  <si>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</si>
  <si>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</si>
  <si>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</si>
  <si>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</si>
  <si>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</si>
  <si>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</si>
  <si>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</si>
  <si>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</si>
  <si>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</si>
  <si>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</si>
  <si>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</si>
  <si>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</si>
  <si>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</si>
  <si>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</si>
  <si>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</si>
  <si>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</si>
  <si>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</si>
  <si>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</si>
  <si>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</si>
  <si>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</si>
  <si>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</si>
  <si>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</si>
  <si>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</si>
  <si>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</si>
  <si>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</si>
  <si>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</si>
  <si>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</si>
  <si>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</si>
  <si>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</si>
  <si>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</si>
  <si>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</si>
  <si>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</si>
  <si>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</si>
  <si>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</si>
  <si>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</si>
  <si>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</si>
  <si>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</si>
  <si>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</si>
  <si>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</si>
  <si>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</si>
  <si>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</si>
  <si>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</si>
  <si>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</si>
  <si>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</si>
  <si>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</si>
  <si>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</si>
  <si>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</si>
  <si>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</si>
  <si>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</si>
  <si>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</si>
  <si>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</si>
  <si>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</si>
  <si>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</si>
  <si>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</si>
  <si>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</si>
  <si>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</si>
  <si>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</si>
  <si>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</si>
  <si>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</si>
  <si>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</si>
  <si>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</si>
  <si>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</si>
  <si>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</si>
  <si>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</si>
  <si>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</si>
  <si>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</si>
  <si>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</si>
  <si>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</si>
  <si>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</si>
  <si>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</si>
  <si>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</si>
  <si>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</si>
  <si>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</si>
  <si>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</si>
  <si>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</si>
  <si>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</si>
  <si>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</si>
  <si>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</si>
  <si>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</si>
  <si>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</si>
  <si>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</si>
  <si>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</si>
  <si>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</si>
  <si>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</si>
  <si>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</si>
  <si>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</si>
  <si>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</si>
  <si>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</si>
  <si>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</si>
  <si>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</si>
  <si>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</si>
  <si>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</si>
  <si>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</si>
  <si>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</si>
  <si>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</si>
  <si>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</si>
  <si>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</si>
  <si>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</si>
  <si>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</si>
  <si>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</si>
  <si>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</si>
  <si>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</si>
  <si>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</si>
  <si>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</si>
  <si>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</si>
  <si>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</si>
  <si>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</si>
  <si>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</si>
  <si>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</si>
  <si>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</si>
  <si>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</si>
  <si>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</si>
  <si>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</si>
  <si>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</si>
  <si>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</si>
  <si>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</si>
  <si>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</si>
  <si>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</si>
  <si>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</si>
  <si>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</si>
  <si>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</si>
  <si>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</si>
  <si>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</si>
  <si>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</si>
  <si>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</si>
  <si>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</si>
  <si>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</si>
  <si>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</si>
  <si>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</si>
  <si>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</si>
  <si>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</si>
  <si>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</si>
  <si>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</si>
  <si>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</si>
  <si>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</si>
  <si>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</si>
  <si>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</si>
  <si>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</si>
  <si>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</si>
  <si>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</si>
  <si>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</si>
  <si>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</si>
  <si>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</si>
  <si>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</si>
  <si>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</si>
  <si>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</si>
  <si>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</si>
  <si>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</si>
  <si>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</si>
  <si>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</si>
  <si>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</si>
  <si>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</si>
  <si>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</si>
  <si>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</si>
  <si>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</si>
  <si>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</si>
  <si>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</si>
  <si>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</si>
  <si>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</si>
  <si>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</si>
  <si>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</si>
  <si>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</si>
  <si>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</si>
  <si>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</si>
  <si>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</si>
  <si>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</si>
  <si>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</si>
  <si>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</si>
  <si>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</si>
  <si>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</si>
  <si>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</si>
  <si>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</si>
  <si>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</si>
  <si>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</si>
  <si>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</si>
  <si>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</si>
  <si>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</si>
  <si>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</si>
  <si>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</si>
  <si>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</si>
  <si>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</si>
  <si>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</si>
  <si>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</si>
  <si>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</si>
  <si>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</si>
  <si>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</si>
  <si>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</si>
  <si>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</si>
  <si>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</si>
  <si>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</si>
  <si>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</si>
  <si>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</si>
  <si>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</si>
  <si>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</si>
  <si>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</si>
  <si>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</si>
  <si>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</si>
  <si>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</si>
  <si>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</si>
  <si>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</si>
  <si>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</si>
  <si>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</si>
  <si>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</si>
  <si>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</si>
  <si>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</si>
  <si>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</si>
  <si>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</si>
  <si>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</si>
  <si>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</si>
  <si>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</si>
  <si>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</si>
  <si>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</si>
  <si>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</si>
  <si>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</si>
  <si>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</si>
  <si>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</si>
  <si>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</si>
  <si>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</si>
  <si>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</si>
  <si>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</si>
  <si>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</si>
  <si>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</si>
  <si>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</si>
  <si>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</si>
  <si>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</si>
  <si>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</si>
  <si>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</si>
  <si>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</si>
  <si>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</si>
  <si>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</si>
  <si>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</si>
  <si>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</si>
  <si>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</si>
  <si>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</si>
  <si>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</si>
  <si>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</si>
  <si>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</si>
  <si>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</si>
  <si>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</si>
  <si>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</si>
  <si>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</si>
  <si>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</si>
  <si>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</si>
  <si>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</si>
  <si>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</si>
  <si>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</si>
  <si>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</si>
  <si>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</si>
  <si>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</si>
  <si>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</si>
  <si>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</si>
  <si>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</si>
  <si>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</si>
  <si>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</si>
  <si>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</si>
  <si>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</si>
  <si>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</si>
  <si>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</si>
  <si>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</si>
  <si>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</si>
  <si>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</si>
  <si>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</si>
  <si>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</si>
  <si>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</si>
  <si>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</si>
  <si>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</si>
  <si>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</si>
  <si>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</si>
  <si>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</si>
  <si>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</si>
  <si>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</si>
  <si>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</si>
  <si>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</si>
  <si>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</si>
  <si>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</si>
  <si>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</si>
  <si>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</si>
  <si>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</si>
  <si>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</si>
  <si>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</si>
  <si>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</si>
  <si>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</si>
  <si>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</si>
  <si>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</si>
  <si>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</si>
  <si>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</si>
  <si>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</si>
  <si>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</si>
  <si>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</si>
  <si>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</si>
  <si>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</si>
  <si>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</si>
  <si>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</si>
  <si>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</si>
  <si>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</si>
  <si>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</si>
  <si>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</si>
  <si>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</si>
  <si>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</si>
  <si>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</si>
  <si>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</si>
  <si>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</si>
  <si>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</si>
  <si>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</si>
  <si>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</si>
  <si>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</si>
  <si>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</si>
  <si>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</si>
  <si>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</si>
  <si>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</si>
  <si>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</si>
  <si>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</si>
  <si>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</si>
  <si>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</si>
  <si>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</si>
  <si>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</si>
  <si>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</si>
  <si>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</si>
  <si>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</si>
  <si>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</si>
  <si>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</si>
  <si>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</si>
  <si>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</si>
  <si>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</si>
  <si>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</si>
  <si>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</si>
  <si>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</si>
  <si>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</si>
  <si>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</si>
  <si>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</si>
  <si>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</si>
  <si>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</si>
  <si>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</si>
  <si>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</si>
  <si>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</si>
  <si>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</si>
  <si>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</si>
  <si>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</si>
  <si>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</si>
  <si>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</si>
  <si>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</si>
  <si>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</si>
  <si>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</si>
  <si>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</si>
  <si>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</si>
  <si>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</si>
  <si>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</si>
  <si>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</si>
  <si>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</si>
  <si>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</si>
  <si>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</si>
  <si>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</si>
  <si>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</si>
  <si>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</si>
  <si>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</si>
  <si>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</si>
  <si>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</si>
  <si>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</si>
  <si>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</si>
  <si>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</si>
  <si>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</si>
  <si>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</si>
  <si>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</si>
  <si>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</si>
  <si>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</si>
  <si>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</si>
  <si>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</si>
  <si>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</si>
  <si>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</si>
  <si>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</si>
  <si>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</si>
  <si>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</si>
  <si>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</si>
  <si>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</si>
  <si>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</si>
  <si>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</si>
  <si>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</si>
  <si>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</si>
  <si>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</si>
  <si>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</si>
  <si>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</si>
  <si>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</si>
  <si>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</si>
  <si>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</si>
  <si>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</si>
  <si>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</si>
  <si>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</si>
  <si>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</si>
  <si>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</si>
  <si>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</si>
  <si>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</si>
  <si>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</si>
  <si>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</si>
  <si>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</si>
  <si>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</si>
  <si>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</si>
  <si>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</si>
  <si>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</si>
  <si>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</si>
  <si>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</si>
  <si>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</si>
  <si>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</si>
  <si>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</si>
  <si>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</si>
  <si>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</si>
  <si>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</si>
  <si>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</si>
  <si>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</si>
  <si>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</si>
  <si>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</si>
  <si>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</si>
  <si>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</si>
  <si>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</si>
  <si>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</si>
  <si>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</si>
  <si>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</si>
  <si>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</si>
  <si>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</si>
  <si>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</si>
  <si>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</si>
  <si>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</si>
  <si>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</si>
  <si>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</si>
  <si>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</si>
  <si>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</si>
  <si>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</si>
  <si>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</si>
  <si>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</si>
  <si>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</si>
  <si>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</si>
  <si>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</si>
  <si>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</si>
  <si>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</si>
  <si>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</si>
  <si>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</si>
  <si>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</si>
  <si>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</si>
  <si>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</si>
  <si>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</si>
  <si>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</si>
  <si>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</si>
  <si>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</si>
  <si>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</si>
  <si>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</si>
  <si>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</si>
  <si>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</si>
  <si>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</si>
  <si>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</si>
  <si>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</si>
  <si>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</si>
  <si>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</si>
  <si>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</si>
  <si>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</si>
  <si>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</si>
  <si>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</si>
  <si>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</si>
  <si>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</si>
  <si>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</si>
  <si>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</si>
  <si>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</si>
  <si>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</si>
  <si>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</si>
  <si>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</si>
  <si>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</si>
  <si>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</si>
  <si>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</si>
  <si>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</si>
  <si>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</si>
  <si>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</si>
  <si>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</si>
  <si>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</si>
  <si>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</si>
  <si>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</si>
  <si>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</si>
  <si>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</si>
  <si>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</si>
  <si>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</si>
  <si>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</si>
  <si>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</si>
  <si>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</si>
  <si>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</si>
  <si>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</si>
  <si>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</si>
  <si>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</si>
  <si>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</si>
  <si>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</si>
  <si>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</si>
  <si>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</si>
  <si>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</si>
  <si>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</si>
  <si>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</si>
  <si>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</si>
  <si>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</si>
  <si>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</si>
  <si>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</si>
  <si>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</si>
  <si>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</si>
  <si>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</si>
  <si>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</si>
  <si>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</si>
  <si>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</si>
  <si>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</si>
  <si>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</si>
  <si>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</si>
  <si>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</si>
  <si>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</si>
  <si>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</si>
  <si>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</si>
  <si>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</si>
  <si>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</si>
  <si>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</si>
  <si>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</si>
  <si>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</si>
  <si>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</si>
  <si>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</si>
  <si>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</si>
  <si>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</si>
  <si>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</si>
  <si>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</si>
  <si>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</si>
  <si>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</si>
  <si>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</si>
  <si>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</si>
  <si>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</si>
  <si>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</si>
  <si>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</si>
  <si>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</si>
  <si>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</si>
  <si>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</si>
  <si>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</si>
  <si>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</si>
  <si>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</si>
  <si>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</si>
  <si>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</si>
  <si>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</si>
  <si>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</si>
  <si>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</si>
  <si>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</si>
  <si>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</si>
  <si>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</si>
  <si>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</si>
  <si>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</si>
  <si>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</si>
  <si>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</si>
  <si>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</si>
  <si>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</si>
  <si>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</si>
  <si>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</si>
  <si>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</si>
  <si>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</si>
  <si>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</si>
  <si>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</si>
  <si>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</si>
  <si>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</si>
  <si>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</si>
  <si>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</si>
  <si>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</si>
  <si>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</si>
  <si>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</si>
  <si>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</si>
  <si>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</si>
  <si>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</si>
  <si>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</si>
  <si>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</si>
  <si>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</si>
  <si>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</si>
  <si>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</si>
  <si>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</si>
  <si>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</si>
  <si>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</si>
  <si>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</si>
  <si>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</si>
  <si>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</si>
  <si>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</si>
  <si>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</si>
  <si>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</si>
  <si>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</si>
  <si>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</si>
  <si>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</si>
  <si>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</si>
  <si>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</si>
  <si>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</si>
  <si>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</si>
  <si>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</si>
  <si>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</si>
  <si>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</si>
  <si>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</si>
  <si>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</si>
  <si>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</si>
  <si>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</si>
  <si>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</si>
  <si>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</si>
  <si>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</si>
  <si>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</si>
  <si>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</si>
  <si>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</si>
  <si>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</si>
  <si>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</si>
  <si>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</si>
  <si>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</si>
  <si>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</si>
  <si>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</si>
  <si>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</si>
  <si>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</si>
  <si>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</si>
  <si>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</si>
  <si>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</si>
  <si>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</si>
  <si>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</si>
  <si>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</si>
  <si>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</si>
  <si>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</si>
  <si>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</si>
  <si>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</si>
  <si>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</si>
  <si>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</si>
  <si>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</si>
  <si>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</si>
  <si>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</si>
  <si>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</si>
  <si>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</si>
  <si>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</si>
  <si>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</si>
  <si>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</si>
  <si>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</si>
  <si>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</si>
  <si>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</si>
  <si>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</si>
  <si>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</si>
  <si>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</si>
  <si>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</si>
  <si>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</si>
  <si>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</si>
  <si>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</si>
  <si>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</si>
  <si>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</si>
  <si>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</si>
  <si>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</si>
  <si>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</si>
  <si>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</si>
  <si>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</si>
  <si>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</si>
  <si>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</si>
  <si>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</si>
  <si>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</si>
  <si>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</si>
  <si>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</si>
  <si>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</si>
  <si>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</si>
  <si>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</si>
  <si>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</si>
  <si>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</si>
  <si>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</si>
  <si>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</si>
  <si>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</si>
  <si>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</si>
  <si>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</si>
  <si>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</si>
  <si>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</si>
  <si>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</si>
  <si>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</si>
  <si>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</si>
  <si>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</si>
  <si>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</si>
  <si>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</si>
  <si>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</si>
  <si>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</si>
  <si>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</si>
  <si>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</si>
  <si>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</si>
  <si>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</si>
  <si>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</si>
  <si>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</si>
  <si>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</si>
  <si>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</si>
  <si>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</si>
  <si>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</si>
  <si>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</si>
  <si>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</si>
  <si>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</si>
  <si>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</si>
  <si>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</si>
  <si>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</si>
  <si>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</si>
  <si>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</si>
  <si>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</si>
  <si>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</si>
  <si>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</si>
  <si>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</si>
  <si>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</si>
  <si>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</si>
  <si>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</si>
  <si>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</si>
  <si>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</si>
  <si>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</si>
  <si>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</si>
  <si>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</si>
  <si>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</si>
  <si>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</si>
  <si>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</si>
  <si>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</si>
  <si>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</si>
  <si>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</si>
  <si>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</si>
  <si>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</si>
  <si>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</si>
  <si>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</si>
  <si>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</si>
  <si>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</si>
  <si>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</si>
  <si>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</si>
  <si>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</si>
  <si>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</si>
  <si>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</si>
  <si>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</si>
  <si>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</si>
  <si>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</si>
  <si>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</si>
  <si>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</si>
  <si>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</si>
  <si>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</si>
  <si>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</si>
  <si>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</si>
  <si>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</si>
  <si>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</si>
  <si>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</si>
  <si>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</si>
  <si>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</si>
  <si>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</si>
  <si>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</si>
  <si>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</si>
  <si>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</si>
  <si>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</si>
  <si>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</si>
  <si>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</si>
  <si>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</si>
  <si>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</si>
  <si>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</si>
  <si>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</si>
  <si>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</si>
  <si>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</si>
  <si>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</si>
  <si>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</si>
  <si>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</si>
  <si>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</si>
  <si>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</si>
  <si>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</si>
  <si>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</si>
  <si>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</si>
  <si>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</si>
  <si>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</si>
  <si>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</si>
  <si>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</si>
  <si>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</si>
  <si>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</si>
  <si>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</si>
  <si>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</si>
  <si>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</si>
  <si>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</si>
  <si>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</si>
  <si>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</si>
  <si>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</si>
  <si>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</si>
  <si>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</si>
  <si>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</si>
  <si>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</si>
  <si>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</si>
  <si>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</si>
  <si>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</si>
  <si>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</si>
  <si>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</si>
  <si>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</si>
  <si>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</si>
  <si>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</si>
  <si>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</si>
  <si>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</si>
  <si>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</si>
  <si>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</si>
  <si>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</si>
  <si>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</si>
  <si>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</si>
  <si>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</si>
  <si>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</si>
  <si>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</si>
  <si>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</si>
  <si>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</si>
  <si>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</si>
  <si>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</si>
  <si>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</si>
  <si>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</si>
  <si>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</si>
  <si>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</si>
  <si>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</si>
  <si>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</si>
  <si>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</si>
  <si>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</si>
  <si>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</si>
  <si>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</si>
  <si>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</si>
  <si>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</si>
  <si>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</si>
  <si>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</si>
  <si>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</si>
  <si>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</si>
  <si>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</si>
  <si>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</si>
  <si>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</si>
  <si>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</si>
  <si>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</si>
  <si>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</si>
  <si>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</si>
  <si>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</si>
  <si>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</si>
  <si>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</si>
  <si>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</si>
  <si>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</si>
  <si>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</si>
  <si>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</si>
  <si>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</si>
  <si>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</si>
  <si>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</si>
  <si>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</si>
  <si>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</si>
  <si>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</si>
  <si>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</si>
  <si>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</si>
  <si>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</si>
  <si>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</si>
  <si>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</si>
  <si>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</si>
  <si>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</si>
  <si>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</si>
  <si>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</si>
  <si>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</si>
  <si>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</si>
  <si>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</si>
  <si>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</si>
  <si>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</si>
  <si>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</si>
  <si>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</si>
  <si>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</si>
  <si>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</si>
  <si>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</si>
  <si>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</si>
  <si>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</si>
  <si>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</si>
  <si>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</si>
  <si>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</si>
  <si>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</si>
  <si>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</si>
  <si>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</si>
  <si>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</si>
  <si>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</si>
  <si>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</si>
  <si>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</si>
  <si>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</si>
  <si>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</si>
  <si>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</si>
  <si>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</si>
  <si>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</si>
  <si>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</si>
  <si>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</si>
  <si>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</si>
  <si>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</si>
  <si>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</si>
  <si>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</si>
  <si>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</si>
  <si>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</si>
  <si>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</si>
  <si>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</si>
  <si>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</si>
  <si>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</si>
  <si>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</si>
  <si>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</si>
  <si>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</si>
  <si>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</si>
  <si>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</si>
  <si>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</si>
  <si>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</si>
  <si>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</si>
  <si>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</si>
  <si>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</si>
  <si>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</si>
  <si>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</si>
  <si>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</si>
  <si>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</si>
  <si>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</si>
  <si>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</si>
  <si>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</si>
  <si>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</si>
  <si>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</si>
  <si>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</si>
  <si>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</si>
  <si>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</si>
  <si>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</si>
  <si>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</si>
  <si>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</si>
  <si>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</si>
  <si>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</si>
  <si>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</si>
  <si>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</si>
  <si>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</si>
  <si>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</si>
  <si>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</si>
  <si>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</si>
  <si>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</si>
  <si>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</si>
  <si>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</si>
  <si>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</si>
  <si>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</si>
  <si>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</si>
  <si>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</si>
  <si>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</si>
  <si>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</si>
  <si>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</si>
  <si>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</si>
  <si>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</si>
  <si>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</si>
  <si>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</si>
  <si>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</si>
  <si>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</si>
  <si>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</si>
  <si>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</si>
  <si>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</si>
  <si>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</si>
  <si>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</si>
  <si>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</si>
  <si>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</si>
  <si>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</si>
  <si>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</si>
  <si>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</si>
  <si>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</si>
  <si>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</si>
  <si>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</si>
  <si>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</si>
  <si>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</si>
  <si>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</si>
  <si>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</si>
  <si>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</si>
  <si>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</si>
  <si>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</si>
  <si>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</si>
  <si>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</si>
  <si>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</si>
  <si>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</si>
  <si>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</si>
  <si>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</si>
  <si>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</si>
  <si>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</si>
  <si>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</si>
  <si>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</si>
  <si>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</si>
  <si>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</si>
  <si>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</si>
  <si>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</si>
  <si>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</si>
  <si>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</si>
  <si>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</si>
  <si>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</si>
  <si>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</si>
  <si>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</si>
  <si>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</si>
  <si>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</si>
  <si>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</si>
  <si>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</si>
  <si>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</si>
  <si>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</si>
  <si>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</si>
  <si>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</si>
  <si>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</si>
  <si>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</si>
  <si>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</si>
  <si>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</si>
  <si>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</si>
  <si>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</si>
  <si>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</si>
  <si>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</si>
  <si>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</si>
  <si>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</si>
  <si>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</si>
  <si>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</si>
  <si>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</si>
  <si>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</si>
  <si>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</si>
  <si>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</si>
  <si>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</si>
  <si>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</si>
  <si>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</si>
  <si>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</si>
  <si>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</si>
  <si>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</si>
  <si>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</si>
  <si>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</si>
  <si>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</si>
  <si>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</si>
  <si>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</si>
  <si>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</si>
  <si>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</si>
  <si>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</si>
  <si>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</si>
  <si>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</si>
  <si>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</si>
  <si>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</si>
  <si>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</si>
  <si>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</si>
  <si>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</si>
  <si>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</si>
  <si>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</si>
  <si>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</si>
  <si>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</si>
  <si>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</si>
  <si>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</si>
  <si>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</si>
  <si>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</si>
  <si>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</si>
  <si>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</si>
  <si>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</si>
  <si>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</si>
  <si>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</si>
  <si>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</si>
  <si>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</si>
  <si>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</si>
  <si>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</si>
  <si>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</si>
  <si>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</si>
  <si>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</si>
  <si>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</si>
  <si>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</si>
  <si>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</si>
  <si>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</si>
  <si>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</si>
  <si>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</si>
  <si>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</si>
  <si>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</si>
  <si>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</si>
  <si>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</si>
  <si>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</si>
  <si>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</si>
  <si>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</si>
  <si>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</si>
  <si>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</si>
  <si>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</si>
  <si>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</si>
  <si>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</si>
  <si>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</si>
  <si>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</si>
  <si>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</si>
  <si>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</si>
  <si>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</si>
  <si>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</si>
  <si>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</si>
  <si>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</si>
  <si>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</si>
  <si>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</si>
  <si>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</si>
  <si>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</si>
  <si>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</si>
  <si>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</si>
  <si>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</si>
  <si>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</si>
  <si>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</si>
  <si>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</si>
  <si>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</si>
  <si>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</si>
  <si>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</si>
  <si>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</si>
  <si>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</si>
  <si>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</si>
  <si>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</si>
  <si>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</si>
  <si>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</si>
  <si>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</si>
  <si>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</si>
  <si>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</si>
  <si>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</si>
  <si>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</si>
  <si>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</si>
  <si>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</si>
  <si>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</si>
  <si>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</si>
  <si>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</si>
  <si>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</si>
  <si>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</si>
  <si>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</si>
  <si>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</si>
  <si>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</si>
  <si>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</si>
  <si>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</si>
  <si>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</si>
  <si>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</si>
  <si>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</si>
  <si>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</si>
  <si>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</si>
  <si>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</si>
  <si>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</si>
  <si>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</si>
  <si>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</si>
  <si>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</si>
  <si>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</si>
  <si>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</si>
  <si>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</si>
  <si>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</si>
  <si>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</si>
  <si>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</si>
  <si>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</si>
  <si>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</si>
  <si>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</si>
  <si>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</si>
  <si>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</si>
  <si>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</si>
  <si>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</si>
  <si>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</si>
  <si>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</si>
  <si>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</si>
  <si>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</si>
  <si>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</si>
  <si>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</si>
  <si>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</si>
  <si>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</si>
  <si>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</si>
  <si>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</si>
  <si>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</si>
  <si>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</si>
  <si>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</si>
  <si>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</si>
  <si>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</si>
  <si>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</si>
  <si>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</si>
  <si>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</si>
  <si>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</si>
  <si>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</si>
  <si>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</si>
  <si>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</si>
  <si>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</si>
  <si>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</si>
  <si>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</si>
  <si>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</si>
  <si>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</si>
  <si>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</si>
  <si>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</si>
  <si>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</si>
  <si>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</si>
  <si>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</si>
  <si>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</si>
  <si>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</si>
  <si>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</si>
  <si>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</si>
  <si>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</si>
  <si>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</si>
  <si>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</si>
  <si>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</si>
  <si>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</si>
  <si>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</si>
  <si>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</si>
  <si>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</si>
  <si>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</si>
  <si>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</si>
  <si>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</si>
  <si>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</si>
  <si>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</si>
  <si>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</si>
  <si>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</si>
  <si>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</si>
  <si>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Sub Category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</si>
  <si>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</si>
  <si>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</si>
  <si>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</si>
  <si>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</si>
  <si>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</si>
  <si>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</si>
  <si>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</si>
  <si>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</si>
  <si>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</si>
  <si>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</si>
  <si>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</si>
  <si>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</si>
  <si>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</si>
  <si>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</si>
  <si>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</si>
  <si>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</si>
  <si>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</si>
  <si>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</si>
  <si>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</si>
  <si>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</si>
  <si>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</si>
  <si>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</si>
  <si>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</si>
  <si>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</si>
  <si>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</si>
  <si>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</si>
  <si>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</si>
  <si>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</si>
  <si>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</si>
  <si>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</si>
  <si>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</si>
  <si>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</si>
  <si>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</si>
  <si>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</si>
  <si>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</si>
  <si>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</si>
  <si>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</si>
  <si>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</si>
  <si>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</si>
  <si>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 number of backers:</t>
  </si>
  <si>
    <t>The median number of backers:</t>
  </si>
  <si>
    <t>The minimum number of backers:</t>
  </si>
  <si>
    <t>The maximum number of backers:</t>
  </si>
  <si>
    <t>The variance of the number of backers:</t>
  </si>
  <si>
    <t>The standard deviation of the number of backers:</t>
  </si>
  <si>
    <t>Years</t>
  </si>
  <si>
    <t>The mean is a better representation.</t>
  </si>
  <si>
    <t>Mean or Median?</t>
  </si>
  <si>
    <t>This is because the data does not appear to be right- or left- skewed when put into a bar graph. When there is no extreme skew to the left or right, the mean is often more accurate.</t>
  </si>
  <si>
    <t>Variablity</t>
  </si>
  <si>
    <t>There is more variability in the successful campaigns.</t>
  </si>
  <si>
    <t>This makes sense! You can achieve success through many backers or through a few backers that donate a large amount. It seems less likely that you would fail with many backers, making this set less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</si>
</sst>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0" fontId="0" fillId="0" borderId="0" xfId="0" applyAlignment="1">
      <alignment horizontal="right"/>
    </xf>
    <xf numFmtId="0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- Challenge 1.xlsx]Pivot Table (Parent Category)!PivotTable4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936375653773208E-2"/>
          <c:y val="6.7226890756302518E-2"/>
          <c:w val="0.81781783435829647"/>
          <c:h val="0.856309799510355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(Parent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(Parent Category)'!$B$5:$B$14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F-3043-8B6E-D73CBD308CDD}"/>
            </c:ext>
          </c:extLst>
        </c:ser>
        <c:ser>
          <c:idx val="1"/>
          <c:order val="1"/>
          <c:tx>
            <c:strRef>
              <c:f>'Pivot Table (Parent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(Parent Category)'!$C$5:$C$14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F-3043-8B6E-D73CBD308CDD}"/>
            </c:ext>
          </c:extLst>
        </c:ser>
        <c:ser>
          <c:idx val="2"/>
          <c:order val="2"/>
          <c:tx>
            <c:strRef>
              <c:f>'Pivot Table (Parent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(Parent Category)'!$D$5:$D$14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F-3043-8B6E-D73CBD308CDD}"/>
            </c:ext>
          </c:extLst>
        </c:ser>
        <c:ser>
          <c:idx val="3"/>
          <c:order val="3"/>
          <c:tx>
            <c:strRef>
              <c:f>'Pivot Table (Parent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(Parent Category)'!$E$5:$E$14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F-3043-8B6E-D73CBD30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820047"/>
        <c:axId val="541414623"/>
      </c:barChart>
      <c:catAx>
        <c:axId val="53882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4623"/>
        <c:crosses val="autoZero"/>
        <c:auto val="1"/>
        <c:lblAlgn val="ctr"/>
        <c:lblOffset val="100"/>
        <c:noMultiLvlLbl val="0"/>
      </c:catAx>
      <c:valAx>
        <c:axId val="5414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- Challenge 1.xlsx]Pivot Table (SubCategory)!PivotTable5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(SubCategory)'!$B$4:$B$5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(SubCategory)'!$A$6:$A$30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(SubCategory)'!$B$6:$B$30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6-D244-9536-A34F54F773ED}"/>
            </c:ext>
          </c:extLst>
        </c:ser>
        <c:ser>
          <c:idx val="1"/>
          <c:order val="1"/>
          <c:tx>
            <c:strRef>
              <c:f>'Pivot Table (SubCategory)'!$C$4:$C$5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(SubCategory)'!$A$6:$A$30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(SubCategory)'!$C$6:$C$30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5-AE43-BFE6-676F7939F739}"/>
            </c:ext>
          </c:extLst>
        </c:ser>
        <c:ser>
          <c:idx val="2"/>
          <c:order val="2"/>
          <c:tx>
            <c:strRef>
              <c:f>'Pivot Table (SubCategory)'!$D$4:$D$5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(SubCategory)'!$A$6:$A$30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(SubCategory)'!$D$6:$D$30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5-AE43-BFE6-676F7939F739}"/>
            </c:ext>
          </c:extLst>
        </c:ser>
        <c:ser>
          <c:idx val="3"/>
          <c:order val="3"/>
          <c:tx>
            <c:strRef>
              <c:f>'Pivot Table (SubCategory)'!$E$4:$E$5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(SubCategory)'!$A$6:$A$30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(SubCategory)'!$E$6:$E$30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5-AE43-BFE6-676F7939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111727"/>
        <c:axId val="541211215"/>
      </c:barChart>
      <c:catAx>
        <c:axId val="5671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1215"/>
        <c:crosses val="autoZero"/>
        <c:auto val="1"/>
        <c:lblAlgn val="ctr"/>
        <c:lblOffset val="100"/>
        <c:noMultiLvlLbl val="0"/>
      </c:catAx>
      <c:valAx>
        <c:axId val="5412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1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- Challenge 1.xlsx]Pivot Table (Years)!PivotTable12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(Years)'!$B$4:$B$5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(Years)'!$A$6:$A$18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(Years)'!$B$6:$B$18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D-1648-BF2B-35D76893B532}"/>
            </c:ext>
          </c:extLst>
        </c:ser>
        <c:ser>
          <c:idx val="1"/>
          <c:order val="1"/>
          <c:tx>
            <c:strRef>
              <c:f>'Pivot Table (Years)'!$C$4:$C$5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(Years)'!$A$6:$A$18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(Years)'!$C$6:$C$18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D-1648-BF2B-35D76893B532}"/>
            </c:ext>
          </c:extLst>
        </c:ser>
        <c:ser>
          <c:idx val="2"/>
          <c:order val="2"/>
          <c:tx>
            <c:strRef>
              <c:f>'Pivot Table (Years)'!$D$4:$D$5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(Years)'!$A$6:$A$18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(Years)'!$D$6:$D$18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D-1648-BF2B-35D76893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935359"/>
        <c:axId val="710240719"/>
      </c:lineChart>
      <c:catAx>
        <c:axId val="7569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40719"/>
        <c:crosses val="autoZero"/>
        <c:auto val="1"/>
        <c:lblAlgn val="ctr"/>
        <c:lblOffset val="100"/>
        <c:noMultiLvlLbl val="0"/>
      </c:catAx>
      <c:valAx>
        <c:axId val="7102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C-B34A-A67E-FA5C3E77FBB1}"/>
            </c:ext>
          </c:extLst>
        </c:ser>
        <c:ser>
          <c:idx val="1"/>
          <c:order val="1"/>
          <c:tx>
            <c:strRef>
              <c:f>'Crowd 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C-B34A-A67E-FA5C3E77FBB1}"/>
            </c:ext>
          </c:extLst>
        </c:ser>
        <c:ser>
          <c:idx val="2"/>
          <c:order val="2"/>
          <c:tx>
            <c:strRef>
              <c:f>'Crowd 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C-B34A-A67E-FA5C3E77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01199"/>
        <c:axId val="612147023"/>
      </c:lineChart>
      <c:catAx>
        <c:axId val="6114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47023"/>
        <c:crosses val="autoZero"/>
        <c:auto val="1"/>
        <c:lblAlgn val="ctr"/>
        <c:lblOffset val="100"/>
        <c:noMultiLvlLbl val="0"/>
      </c:catAx>
      <c:valAx>
        <c:axId val="6121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152400</xdr:rowOff>
    </xdr:from>
    <xdr:to>
      <xdr:col>9</xdr:col>
      <xdr:colOff>139700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3533E-287F-7B6C-8F05-51993E404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107949</xdr:rowOff>
    </xdr:from>
    <xdr:to>
      <xdr:col>7</xdr:col>
      <xdr:colOff>872772</xdr:colOff>
      <xdr:row>54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1EB54-03BD-8EA5-28EA-6374C0A69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184150</xdr:rowOff>
    </xdr:from>
    <xdr:to>
      <xdr:col>5</xdr:col>
      <xdr:colOff>222250</xdr:colOff>
      <xdr:row>32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8ECB93-6CF0-2C5A-2F05-A0AACE4BC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14</xdr:row>
      <xdr:rowOff>107950</xdr:rowOff>
    </xdr:from>
    <xdr:to>
      <xdr:col>7</xdr:col>
      <xdr:colOff>317500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0DB07-B3B2-2958-26C9-1B2F7C243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gen/Downloads/Class_3_Activities/07-Stu_Census_Pt1/Unsolved/census_data_2016-2019_pt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_census_data"/>
    </sheetNames>
    <sheetDataSet>
      <sheetData sheetId="0">
        <row r="1">
          <cell r="B1" t="str">
            <v>Place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, Morgen" refreshedDate="45007.94625277778" createdVersion="8" refreshedVersion="8" minRefreshableVersion="3" recordCount="1000" xr:uid="{7292B5D3-91CC-F745-BA14-DD8785724D8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, Morgen" refreshedDate="45008.047932291665" createdVersion="8" refreshedVersion="8" minRefreshableVersion="3" recordCount="999" xr:uid="{74C6D6E1-A64A-7643-AF42-FE4D3A77BC5A}">
  <cacheSource type="worksheet">
    <worksheetSource ref="A1:T1000" sheet="Crowdfunding"/>
  </cacheSource>
  <cacheFields count="22">
    <cacheField name="id" numFmtId="0">
      <sharedItems containsSemiMixedTypes="0" containsString="0" containsNumber="1" containsInteger="1" minValue="0" maxValue="998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8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67E7C-F542-6A46-A714-2CF882B4D8B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2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A6F2B-F678-6741-964E-7964437AE7B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87D1E-5582-DD49-AD3D-2E1045B68C5A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C9" sqref="C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83203125" bestFit="1" customWidth="1"/>
    <col min="8" max="8" width="13" bestFit="1" customWidth="1"/>
    <col min="9" max="9" width="21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9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2067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f ca="1" xml:space="preserve"> IF(H2&gt;0, (E2/H2), 0)</f>
        <v>0</v>
      </c>
      <c r="I2" s="4">
        <f ca="1" xml:space="preserve"> IF(H2&gt;0, E2/H2, 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'[1]2016_census_data'!$B$1</f>
        <v>Place</v>
      </c>
      <c r="T2" t="str">
        <f>RIGHT(R2, LEN(R2) - 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 t="shared" ref="I3:I66" si="0" xml:space="preserve"> IF(H3&gt;0, 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SEARCH("/",R3,1)-1)</f>
        <v>music</v>
      </c>
      <c r="T3" t="str">
        <f t="shared" ref="T3:T66" si="4">RIGHT(R3, LEN(R3) - 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5">(E4/D4)*100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 s="4">
        <f t="shared" ref="I67:I130" si="6" xml:space="preserve"> IF(H67&gt;0, E67/H67,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SEARCH("/",R67,1)-1)</f>
        <v>theater</v>
      </c>
      <c r="T67" t="str">
        <f t="shared" ref="T67:T130" si="10">RIGHT(R67, LEN(R67) - 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1">(E68/D68)*100</f>
        <v>45.068965517241381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1"/>
        <v>162.38567493112947</v>
      </c>
      <c r="G69" t="s">
        <v>20</v>
      </c>
      <c r="H69">
        <v>4065</v>
      </c>
      <c r="I69" s="4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 s="4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4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4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4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4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4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4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4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4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4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4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4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4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4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4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4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4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4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4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4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4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4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4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4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4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4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4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4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4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4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4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4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4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4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4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4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4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4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4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4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4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4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4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4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4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4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4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4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4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4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4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4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4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4">
        <f t="shared" ref="I131:I194" si="12" xml:space="preserve"> IF(H131&gt;0, E131/H131,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SEARCH("/",R131,1)-1)</f>
        <v>food</v>
      </c>
      <c r="T131" t="str">
        <f t="shared" ref="T131:T194" si="16">RIGHT(R131, LEN(R131) - 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7">(E132/D132)*100</f>
        <v>155.46875</v>
      </c>
      <c r="G132" t="s">
        <v>20</v>
      </c>
      <c r="H132">
        <v>533</v>
      </c>
      <c r="I132" s="4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7"/>
        <v>100.85974499089254</v>
      </c>
      <c r="G133" t="s">
        <v>20</v>
      </c>
      <c r="H133">
        <v>2443</v>
      </c>
      <c r="I133" s="4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 s="4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4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4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4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4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4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4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4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4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4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4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4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4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4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4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4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4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4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4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4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4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4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4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4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4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4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4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4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4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4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4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4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4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4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4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4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4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4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4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4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4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4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4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4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4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4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4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4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4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4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4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4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4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4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4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4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4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4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4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4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4">
        <f t="shared" ref="I195:I258" si="18" xml:space="preserve"> IF(H195&gt;0, E195/H195,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SEARCH("/",R195,1)-1)</f>
        <v>music</v>
      </c>
      <c r="T195" t="str">
        <f t="shared" ref="T195:T258" si="22">RIGHT(R195, LEN(R195) - 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3">(E196/D196)*100</f>
        <v>122.7605633802817</v>
      </c>
      <c r="G196" t="s">
        <v>20</v>
      </c>
      <c r="H196">
        <v>126</v>
      </c>
      <c r="I196" s="4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3"/>
        <v>361.75316455696202</v>
      </c>
      <c r="G197" t="s">
        <v>20</v>
      </c>
      <c r="H197">
        <v>524</v>
      </c>
      <c r="I197" s="4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 s="4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4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4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4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4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4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4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4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4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4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4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4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4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4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4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4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4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4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4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4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4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4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4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4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4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4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4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4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4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4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4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4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4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4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4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4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4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4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4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4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4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4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4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4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4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4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4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4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4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4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4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4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4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4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4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4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4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4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4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4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4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4">
        <f t="shared" ref="I259:I322" si="24" xml:space="preserve"> IF(H259&gt;0, E259/H259,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SEARCH("/",R259,1)-1)</f>
        <v>theater</v>
      </c>
      <c r="T259" t="str">
        <f t="shared" ref="T259:T322" si="28">RIGHT(R259, LEN(R259) - 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9">(E260/D260)*100</f>
        <v>268.48</v>
      </c>
      <c r="G260" t="s">
        <v>20</v>
      </c>
      <c r="H260">
        <v>186</v>
      </c>
      <c r="I260" s="4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9"/>
        <v>597.5</v>
      </c>
      <c r="G261" t="s">
        <v>20</v>
      </c>
      <c r="H261">
        <v>138</v>
      </c>
      <c r="I261" s="4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 s="4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4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4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4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4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4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4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4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4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4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4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4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4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4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4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4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4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4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4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4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4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4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4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4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4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4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4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4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4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4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4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4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4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4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4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4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4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4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4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4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4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4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4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4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4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4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4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4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4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4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4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4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4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4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4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4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4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4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4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4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4">
        <f t="shared" ref="I323:I386" si="30" xml:space="preserve"> IF(H323&gt;0, E323/H323,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SEARCH("/",R323,1)-1)</f>
        <v>film &amp; video</v>
      </c>
      <c r="T323" t="str">
        <f t="shared" ref="T323:T386" si="34">RIGHT(R323, LEN(R323) - 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5">(E324/D324)*100</f>
        <v>166.56234096692114</v>
      </c>
      <c r="G324" t="s">
        <v>20</v>
      </c>
      <c r="H324">
        <v>5168</v>
      </c>
      <c r="I324" s="4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 s="4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4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4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4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4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4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4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4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4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4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4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4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4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4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4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4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4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4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4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4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4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4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4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4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4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4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4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4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4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4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4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4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4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4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4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4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4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4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4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4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4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4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4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4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4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4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4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4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4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4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4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4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4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4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4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4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4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4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4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4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4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4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4">
        <f t="shared" ref="I387:I450" si="36" xml:space="preserve"> IF(H387&gt;0, E387/H387,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SEARCH("/",R387,1)-1)</f>
        <v>publishing</v>
      </c>
      <c r="T387" t="str">
        <f t="shared" ref="T387:T450" si="40">RIGHT(R387, LEN(R387) - 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1">(E388/D388)*100</f>
        <v>76.42361623616236</v>
      </c>
      <c r="G388" t="s">
        <v>14</v>
      </c>
      <c r="H388">
        <v>1068</v>
      </c>
      <c r="I388" s="4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1"/>
        <v>39.261467889908261</v>
      </c>
      <c r="G389" t="s">
        <v>14</v>
      </c>
      <c r="H389">
        <v>424</v>
      </c>
      <c r="I389" s="4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 s="4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4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4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4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4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4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4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4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4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4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4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4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4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4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4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4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4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4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4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4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4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4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4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4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4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4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4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4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4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4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4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4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4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4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4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4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4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4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4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4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4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4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4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4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4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4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4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4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4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4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4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4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4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4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4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4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4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4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4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4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4">
        <f t="shared" ref="I451:I514" si="42" xml:space="preserve"> IF(H451&gt;0, E451/H451,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SEARCH("/",R451,1)-1)</f>
        <v>games</v>
      </c>
      <c r="T451" t="str">
        <f t="shared" ref="T451:T514" si="46">RIGHT(R451, LEN(R451) - 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7">(E452/D452)*100</f>
        <v>4</v>
      </c>
      <c r="G452" t="s">
        <v>14</v>
      </c>
      <c r="H452">
        <v>1</v>
      </c>
      <c r="I452" s="4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7"/>
        <v>122.84501347708894</v>
      </c>
      <c r="G453" t="s">
        <v>20</v>
      </c>
      <c r="H453">
        <v>6286</v>
      </c>
      <c r="I453" s="4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 s="4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4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4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4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4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4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4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4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4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4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4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4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4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4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4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4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4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4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4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4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4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4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4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4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4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4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4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4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4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4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4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4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4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4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4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4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4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4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4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4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4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4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4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4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4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4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4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4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4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4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4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4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4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4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4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4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4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4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4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4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4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4">
        <f t="shared" ref="I515:I578" si="48" xml:space="preserve"> IF(H515&gt;0, E515/H515,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SEARCH("/",R515,1)-1)</f>
        <v>film &amp; video</v>
      </c>
      <c r="T515" t="str">
        <f t="shared" ref="T515:T578" si="52">RIGHT(R515, LEN(R515) - 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3">(E516/D516)*100</f>
        <v>22.439077144917089</v>
      </c>
      <c r="G516" t="s">
        <v>74</v>
      </c>
      <c r="H516">
        <v>528</v>
      </c>
      <c r="I516" s="4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3"/>
        <v>55.779069767441861</v>
      </c>
      <c r="G517" t="s">
        <v>14</v>
      </c>
      <c r="H517">
        <v>133</v>
      </c>
      <c r="I517" s="4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 s="4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4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4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4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4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4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4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4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4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4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4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4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4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4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4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4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4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4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4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4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4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4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4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4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4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4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4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4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4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4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4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4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4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4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4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4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4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4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4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4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4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4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4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4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4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4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4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4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4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4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4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4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4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4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4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4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4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4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4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4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4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4">
        <f t="shared" ref="I579:I642" si="54" xml:space="preserve"> IF(H579&gt;0, E579/H579,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SEARCH("/",R579,1)-1)</f>
        <v>music</v>
      </c>
      <c r="T579" t="str">
        <f t="shared" ref="T579:T642" si="58">RIGHT(R579, LEN(R579) - 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9">(E580/D580)*100</f>
        <v>16.754404145077721</v>
      </c>
      <c r="G580" t="s">
        <v>14</v>
      </c>
      <c r="H580">
        <v>245</v>
      </c>
      <c r="I580" s="4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9"/>
        <v>101.11290322580646</v>
      </c>
      <c r="G581" t="s">
        <v>20</v>
      </c>
      <c r="H581">
        <v>87</v>
      </c>
      <c r="I581" s="4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 s="4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4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4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4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4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4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4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4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4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4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4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4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4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4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4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4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4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4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4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4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4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4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4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4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4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4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4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4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4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4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4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4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4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4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4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4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4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4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4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4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4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4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4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4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4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4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4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4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4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4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4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4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4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4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4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4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4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4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4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4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4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4">
        <f t="shared" ref="I643:I706" si="60" xml:space="preserve"> IF(H643&gt;0, E643/H643,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SEARCH("/",R643,1)-1)</f>
        <v>theater</v>
      </c>
      <c r="T643" t="str">
        <f t="shared" ref="T643:T706" si="64">RIGHT(R643, LEN(R643) - 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5">(E644/D644)*100</f>
        <v>145.45652173913044</v>
      </c>
      <c r="G644" t="s">
        <v>20</v>
      </c>
      <c r="H644">
        <v>129</v>
      </c>
      <c r="I644" s="4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5"/>
        <v>221.38255033557047</v>
      </c>
      <c r="G645" t="s">
        <v>20</v>
      </c>
      <c r="H645">
        <v>375</v>
      </c>
      <c r="I645" s="4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 s="4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4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4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4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4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4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4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4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4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4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4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4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4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4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4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4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4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4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4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4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4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4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4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4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4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4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4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4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4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4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4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4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4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4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4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4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4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4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4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4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4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4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4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4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4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4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4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4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4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4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4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4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4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4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4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4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4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4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4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4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4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4">
        <f t="shared" ref="I707:I770" si="66" xml:space="preserve"> IF(H707&gt;0, E707/H707,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SEARCH("/",R707,1)-1)</f>
        <v>publishing</v>
      </c>
      <c r="T707" t="str">
        <f t="shared" ref="T707:T770" si="70">RIGHT(R707, LEN(R707) - 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1">(E708/D708)*100</f>
        <v>127.84686346863469</v>
      </c>
      <c r="G708" t="s">
        <v>20</v>
      </c>
      <c r="H708">
        <v>1345</v>
      </c>
      <c r="I708" s="4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1"/>
        <v>158.61643835616439</v>
      </c>
      <c r="G709" t="s">
        <v>20</v>
      </c>
      <c r="H709">
        <v>168</v>
      </c>
      <c r="I709" s="4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 s="4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4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4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4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4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4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4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4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4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4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4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4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4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4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4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4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4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4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4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4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4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4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4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4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4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4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4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4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4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4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4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4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4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4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4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4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4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4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4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4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4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4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4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4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4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4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4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4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4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4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4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4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4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4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4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4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4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4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4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4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4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4">
        <f t="shared" ref="I771:I834" si="72" xml:space="preserve"> IF(H771&gt;0, E771/H771,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SEARCH("/",R771,1)-1)</f>
        <v>games</v>
      </c>
      <c r="T771" t="str">
        <f t="shared" ref="T771:T834" si="76">RIGHT(R771, LEN(R771) - 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7">(E772/D772)*100</f>
        <v>270.74418604651163</v>
      </c>
      <c r="G772" t="s">
        <v>20</v>
      </c>
      <c r="H772">
        <v>216</v>
      </c>
      <c r="I772" s="4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7"/>
        <v>49.446428571428569</v>
      </c>
      <c r="G773" t="s">
        <v>74</v>
      </c>
      <c r="H773">
        <v>26</v>
      </c>
      <c r="I773" s="4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 s="4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4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4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4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4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4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4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4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4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4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4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4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4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4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4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4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4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4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4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4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4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4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4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4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4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4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4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4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4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4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4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4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4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4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4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4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4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4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4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4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4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4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4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4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4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4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4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4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4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4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4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4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4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4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4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4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4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4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4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4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4">
        <f t="shared" ref="I835:I898" si="78" xml:space="preserve"> IF(H835&gt;0, E835/H835,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SEARCH("/",R835,1)-1)</f>
        <v>publishing</v>
      </c>
      <c r="T835" t="str">
        <f t="shared" ref="T835:T898" si="82">RIGHT(R835, LEN(R835) - 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3">(E836/D836)*100</f>
        <v>153.8082191780822</v>
      </c>
      <c r="G836" t="s">
        <v>20</v>
      </c>
      <c r="H836">
        <v>119</v>
      </c>
      <c r="I836" s="4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3"/>
        <v>89.738979118329468</v>
      </c>
      <c r="G837" t="s">
        <v>14</v>
      </c>
      <c r="H837">
        <v>1758</v>
      </c>
      <c r="I837" s="4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 s="4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4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4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4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4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4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4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4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4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4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4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4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4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4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4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4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4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4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4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4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4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4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4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4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4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4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4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4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4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4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4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4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4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4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4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4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4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4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4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4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4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4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4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4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4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4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4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4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4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4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4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4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4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4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4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4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4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4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4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4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4">
        <f t="shared" ref="I899:I962" si="84" xml:space="preserve"> IF(H899&gt;0, E899/H899,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SEARCH("/",R899,1)-1)</f>
        <v>theater</v>
      </c>
      <c r="T899" t="str">
        <f t="shared" ref="T899:T962" si="88">RIGHT(R899, LEN(R899) - 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9">(E900/D900)*100</f>
        <v>52.479620323841424</v>
      </c>
      <c r="G900" t="s">
        <v>14</v>
      </c>
      <c r="H900">
        <v>1221</v>
      </c>
      <c r="I900" s="4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9"/>
        <v>407.09677419354841</v>
      </c>
      <c r="G901" t="s">
        <v>20</v>
      </c>
      <c r="H901">
        <v>123</v>
      </c>
      <c r="I901" s="4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 s="4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4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4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4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4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4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4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4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4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4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4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4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4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4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4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4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4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4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4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4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4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4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4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4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4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4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4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4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4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4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4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4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4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4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4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4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4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4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4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4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4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4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4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4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4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4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4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4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4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4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4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4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4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4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4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4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4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4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4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4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4">
        <f t="shared" ref="I963:I1001" si="90" xml:space="preserve"> IF(H963&gt;0, E963/H963,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SEARCH("/",R963,1)-1)</f>
        <v>publishing</v>
      </c>
      <c r="T963" t="str">
        <f t="shared" ref="T963:T1001" si="94">RIGHT(R963, LEN(R963) - 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95">(E964/D964)*100</f>
        <v>296.02777777777777</v>
      </c>
      <c r="G964" t="s">
        <v>20</v>
      </c>
      <c r="H964">
        <v>266</v>
      </c>
      <c r="I964" s="4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5"/>
        <v>84.694915254237287</v>
      </c>
      <c r="G965" t="s">
        <v>14</v>
      </c>
      <c r="H965">
        <v>114</v>
      </c>
      <c r="I965" s="4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 s="4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4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4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4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4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4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4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4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4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4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4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4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4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4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4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4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4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4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4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4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4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4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4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4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4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4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4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4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4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4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4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4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4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4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4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4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0756-15D8-B147-84D2-105939D74C2F}">
  <dimension ref="A1:F14"/>
  <sheetViews>
    <sheetView workbookViewId="0">
      <selection activeCell="K26" sqref="K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0.5" bestFit="1" customWidth="1"/>
    <col min="11" max="11" width="26.8320312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2068</v>
      </c>
      <c r="B3" s="6" t="s">
        <v>2069</v>
      </c>
    </row>
    <row r="4" spans="1:6" x14ac:dyDescent="0.2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E13D-0112-F544-A81A-2F307D542FC1}">
  <dimension ref="A1:F30"/>
  <sheetViews>
    <sheetView topLeftCell="A28" zoomScale="90" workbookViewId="0">
      <selection activeCell="B15" sqref="B15"/>
    </sheetView>
  </sheetViews>
  <sheetFormatPr baseColWidth="10" defaultRowHeight="16" x14ac:dyDescent="0.2"/>
  <cols>
    <col min="1" max="1" width="17.5" bestFit="1" customWidth="1"/>
    <col min="2" max="2" width="16.5" bestFit="1" customWidth="1"/>
    <col min="3" max="3" width="6.1640625" bestFit="1" customWidth="1"/>
    <col min="4" max="4" width="4.5" bestFit="1" customWidth="1"/>
    <col min="5" max="5" width="9.83203125" bestFit="1" customWidth="1"/>
    <col min="6" max="6" width="11.1640625" bestFit="1" customWidth="1"/>
    <col min="7" max="15" width="17" bestFit="1" customWidth="1"/>
    <col min="16" max="16" width="13" bestFit="1" customWidth="1"/>
    <col min="17" max="38" width="17" bestFit="1" customWidth="1"/>
    <col min="39" max="39" width="10.5" bestFit="1" customWidth="1"/>
    <col min="40" max="50" width="17" bestFit="1" customWidth="1"/>
    <col min="51" max="51" width="8.83203125" bestFit="1" customWidth="1"/>
    <col min="52" max="75" width="17" bestFit="1" customWidth="1"/>
    <col min="76" max="76" width="14.164062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7" t="s">
        <v>2048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7" t="s">
        <v>2064</v>
      </c>
      <c r="B7" s="13"/>
      <c r="C7" s="13"/>
      <c r="D7" s="13"/>
      <c r="E7" s="13">
        <v>4</v>
      </c>
      <c r="F7" s="13">
        <v>4</v>
      </c>
    </row>
    <row r="8" spans="1:6" x14ac:dyDescent="0.2">
      <c r="A8" s="7" t="s">
        <v>2041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7" t="s">
        <v>2043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7" t="s">
        <v>2042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7" t="s">
        <v>2052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7" t="s">
        <v>2033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7" t="s">
        <v>2044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7" t="s">
        <v>2057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7" t="s">
        <v>2056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7" t="s">
        <v>2060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7" t="s">
        <v>2047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7" t="s">
        <v>2054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7" t="s">
        <v>2039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7" t="s">
        <v>2055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7" t="s">
        <v>2035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7" t="s">
        <v>2062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7" t="s">
        <v>2051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7" t="s">
        <v>2059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7" t="s">
        <v>2058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7" t="s">
        <v>2050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7" t="s">
        <v>2045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7" t="s">
        <v>2037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7" t="s">
        <v>2061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7" t="s">
        <v>2066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1A1A-07AF-D648-ADDE-DD6EAF06A114}">
  <dimension ref="A1:G18"/>
  <sheetViews>
    <sheetView topLeftCell="A13" workbookViewId="0">
      <selection activeCell="H29" sqref="H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15.6640625" bestFit="1" customWidth="1"/>
    <col min="11" max="11" width="5.83203125" bestFit="1" customWidth="1"/>
    <col min="12" max="12" width="4.1640625" bestFit="1" customWidth="1"/>
    <col min="13" max="13" width="9.5" bestFit="1" customWidth="1"/>
    <col min="14" max="14" width="34.1640625" bestFit="1" customWidth="1"/>
    <col min="15" max="15" width="26.83203125" bestFit="1" customWidth="1"/>
    <col min="16" max="16" width="20.5" bestFit="1" customWidth="1"/>
  </cols>
  <sheetData>
    <row r="1" spans="1:7" x14ac:dyDescent="0.2">
      <c r="A1" s="6" t="s">
        <v>2031</v>
      </c>
      <c r="B1" t="s">
        <v>2070</v>
      </c>
    </row>
    <row r="2" spans="1:7" x14ac:dyDescent="0.2">
      <c r="A2" s="6" t="s">
        <v>2113</v>
      </c>
      <c r="B2" t="s">
        <v>2070</v>
      </c>
    </row>
    <row r="4" spans="1:7" x14ac:dyDescent="0.2">
      <c r="A4" s="6" t="s">
        <v>2068</v>
      </c>
      <c r="B4" s="6" t="s">
        <v>2069</v>
      </c>
    </row>
    <row r="5" spans="1:7" x14ac:dyDescent="0.2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7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7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7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7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7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7" x14ac:dyDescent="0.2">
      <c r="A11" s="9" t="s">
        <v>2078</v>
      </c>
      <c r="B11">
        <v>2</v>
      </c>
      <c r="C11">
        <v>28</v>
      </c>
      <c r="D11">
        <v>55</v>
      </c>
      <c r="E11">
        <v>85</v>
      </c>
      <c r="G11">
        <f>55-28</f>
        <v>27</v>
      </c>
    </row>
    <row r="12" spans="1:7" x14ac:dyDescent="0.2">
      <c r="A12" s="9" t="s">
        <v>2079</v>
      </c>
      <c r="B12">
        <v>4</v>
      </c>
      <c r="C12">
        <v>31</v>
      </c>
      <c r="D12">
        <v>58</v>
      </c>
      <c r="E12">
        <v>93</v>
      </c>
      <c r="G12">
        <f>58-31</f>
        <v>27</v>
      </c>
    </row>
    <row r="13" spans="1:7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7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7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7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2066</v>
      </c>
      <c r="B18">
        <v>56</v>
      </c>
      <c r="C18">
        <v>364</v>
      </c>
      <c r="D18">
        <v>565</v>
      </c>
      <c r="E18">
        <v>985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3229-7F4F-4B41-8B37-1C96A0864371}">
  <dimension ref="A1:H13"/>
  <sheetViews>
    <sheetView workbookViewId="0">
      <selection activeCell="B3" sqref="B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0" customFormat="1" x14ac:dyDescent="0.2">
      <c r="A1" s="10" t="s">
        <v>2085</v>
      </c>
      <c r="B1" s="10" t="s">
        <v>2086</v>
      </c>
      <c r="C1" s="10" t="s">
        <v>2087</v>
      </c>
      <c r="D1" s="10" t="s">
        <v>2088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2">
      <c r="A2" t="s">
        <v>2093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2094</v>
      </c>
      <c r="B3">
        <f>COUNTIFS(Crowdfunding!G2:G1001, "successful", Crowdfunding!D2:D1001, "&gt;=1000",Crowdfunding!D2:D1001, "&lt;=4999")</f>
        <v>191</v>
      </c>
      <c r="C3">
        <f>COUNTIFS(Crowdfunding!G2:G1001, "failed", Crowdfunding!D2:D1001, "&gt;=1000",Crowdfunding!D2:D1001, "&lt;=4999")</f>
        <v>38</v>
      </c>
      <c r="D3">
        <f>COUNTIFS(Crowdfunding!G2:G1001, "canceled", Crowdfunding!D2:D1001, "&gt;=1000",Crowdfunding!D2:D1001, "&lt;=4999")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2095</v>
      </c>
      <c r="B4">
        <f>COUNTIFS(Crowdfunding!G2:G1001, "successful", Crowdfunding!D2:D1001, "&gt;=5000",Crowdfunding!D2:D1001, "&lt;=9999")</f>
        <v>164</v>
      </c>
      <c r="C4">
        <f>COUNTIFS(Crowdfunding!G2:G1001, "failed", Crowdfunding!D2:D1001, "&gt;=5000",Crowdfunding!D2:D1001, "&lt;=9999")</f>
        <v>126</v>
      </c>
      <c r="D4">
        <f>COUNTIFS(Crowdfunding!G2:G1001, "canceled", Crowdfunding!D2:D1001, "&gt;=5000",Crowdfunding!D2:D1001, 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2096</v>
      </c>
      <c r="B5">
        <f>COUNTIFS(Crowdfunding!G2:G1001, "successful", Crowdfunding!D2:D1001, "&gt;=10000",Crowdfunding!D2:D1001, "&lt;=14999")</f>
        <v>4</v>
      </c>
      <c r="C5">
        <f>COUNTIFS(Crowdfunding!G2:G1001, "failed", Crowdfunding!D2:D1001, "&gt;=10000",Crowdfunding!D2:D1001, "&lt;=14999")</f>
        <v>5</v>
      </c>
      <c r="D5">
        <f>COUNTIFS(Crowdfunding!G2:G1001, "canceled", Crowdfunding!D2:D1001, "&gt;=10000",Crowdfunding!D2:D1001, 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2097</v>
      </c>
      <c r="B6">
        <f>COUNTIFS(Crowdfunding!G2:G1001, "successful", Crowdfunding!D2:D1001, "&gt;=15000",Crowdfunding!D2:D1001, "&lt;=19999")</f>
        <v>10</v>
      </c>
      <c r="C6">
        <f>COUNTIFS(Crowdfunding!G2:G1001, "failed", Crowdfunding!D2:D1001, "&gt;=15000",Crowdfunding!D2:D1001, "&lt;=19999")</f>
        <v>0</v>
      </c>
      <c r="D6">
        <f>COUNTIFS(Crowdfunding!G2:G1001, "canceled", Crowdfunding!D2:D1001, "&gt;=15000",Crowdfunding!D2:D1001, 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2098</v>
      </c>
      <c r="B7">
        <f>COUNTIFS(Crowdfunding!G2:G1001, "successful", Crowdfunding!D2:D1001, "&gt;=20000",Crowdfunding!D2:D1001, "&lt;=24999")</f>
        <v>7</v>
      </c>
      <c r="C7">
        <f>COUNTIFS(Crowdfunding!G2:G1001, "failed", Crowdfunding!D2:D1001, "&gt;=20000",Crowdfunding!D2:D1001, "&lt;=24999")</f>
        <v>0</v>
      </c>
      <c r="D7">
        <f>COUNTIFS(Crowdfunding!G2:G1001, "canceled", Crowdfunding!D2:D1001, "&gt;=20000",Crowdfunding!D2:D1001, 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2099</v>
      </c>
      <c r="B8">
        <f>COUNTIFS(Crowdfunding!G2:G1001, "successful", Crowdfunding!D2:D1001, "&gt;=25000",Crowdfunding!D2:D1001, "&lt;=29999")</f>
        <v>11</v>
      </c>
      <c r="C8">
        <f>COUNTIFS(Crowdfunding!G2:G1001, "failed", Crowdfunding!D2:D1001, "&gt;=25000",Crowdfunding!D2:D1001, "&lt;=29999")</f>
        <v>3</v>
      </c>
      <c r="D8">
        <f>COUNTIFS(Crowdfunding!G2:G1001, "canceled", Crowdfunding!D2:D1001, "&gt;=25000",Crowdfunding!D2:D1001, 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2100</v>
      </c>
      <c r="B9">
        <f>COUNTIFS(Crowdfunding!G2:G1001, "successful", Crowdfunding!D2:D1001, "&gt;=30000",Crowdfunding!D2:D1001, "&lt;=34999")</f>
        <v>7</v>
      </c>
      <c r="C9">
        <f>COUNTIFS(Crowdfunding!G2:G1001, "failed", Crowdfunding!D2:D1001, "&gt;=30000",Crowdfunding!D2:D1001, "&lt;=34999")</f>
        <v>0</v>
      </c>
      <c r="D9">
        <f>COUNTIFS(Crowdfunding!G2:G1001, "canceled", Crowdfunding!D2:D1001, "&gt;=30000",Crowdfunding!D2:D1001, 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2101</v>
      </c>
      <c r="B10">
        <f>COUNTIFS(Crowdfunding!G2:G1001, "successful", Crowdfunding!D2:D1001, "&gt;=35000",Crowdfunding!D2:D1001, "&lt;=39999")</f>
        <v>8</v>
      </c>
      <c r="C10">
        <f>COUNTIFS(Crowdfunding!G2:G1001, "failed", Crowdfunding!D2:D1001, "&gt;=35000",Crowdfunding!D2:D1001, "&lt;=39999")</f>
        <v>3</v>
      </c>
      <c r="D10">
        <f>COUNTIFS(Crowdfunding!G2:G1001, "canceled", Crowdfunding!D2:D1001, "&gt;=35000",Crowdfunding!D2:D1001, 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2102</v>
      </c>
      <c r="B11">
        <f>COUNTIFS(Crowdfunding!G2:G1001, "successful", Crowdfunding!D2:D1001, "&gt;=40000",Crowdfunding!D2:D1001, "&lt;=44999")</f>
        <v>11</v>
      </c>
      <c r="C11">
        <f>COUNTIFS(Crowdfunding!G2:G1001, "failed", Crowdfunding!D2:D1001, "&gt;=40000",Crowdfunding!D2:D1001, "&lt;=44999")</f>
        <v>3</v>
      </c>
      <c r="D11">
        <f>COUNTIFS(Crowdfunding!G2:G1001, "canceled", Crowdfunding!D2:D1001, "&gt;=40000",Crowdfunding!D2:D1001, 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2103</v>
      </c>
      <c r="B12">
        <f>COUNTIFS(Crowdfunding!G2:G1001, "successful", Crowdfunding!D2:D1001, "&gt;=45000",Crowdfunding!D2:D1001, "&lt;=49999")</f>
        <v>8</v>
      </c>
      <c r="C12">
        <f>COUNTIFS(Crowdfunding!G2:G1001, "failed", Crowdfunding!D2:D1001, "&gt;=45000",Crowdfunding!D2:D1001, "&lt;=49999")</f>
        <v>3</v>
      </c>
      <c r="D12">
        <f>COUNTIFS(Crowdfunding!G2:G1001, "canceled", Crowdfunding!D2:D1001, "&gt;=45000",Crowdfunding!D2:D1001, 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2104</v>
      </c>
      <c r="B13">
        <f>COUNTIFS(Crowdfunding!G2:G1001, "successful", Crowdfunding!D2:D1001, "&gt;50000")</f>
        <v>114</v>
      </c>
      <c r="C13">
        <f>COUNTIFS(Crowdfunding!G2:G1001, "failed", Crowdfunding!D2:D1001, "&gt;50000")</f>
        <v>163</v>
      </c>
      <c r="D13">
        <f>COUNTIFS(Crowdfunding!G2:G1001, "canceled", Crowdfunding!D2:D1001, 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4A54-B814-8441-8DD5-4B4E4CE4ECAD}">
  <dimension ref="A1:H566"/>
  <sheetViews>
    <sheetView tabSelected="1" workbookViewId="0">
      <selection activeCell="G18" sqref="G18"/>
    </sheetView>
  </sheetViews>
  <sheetFormatPr baseColWidth="10" defaultRowHeight="16" x14ac:dyDescent="0.2"/>
  <cols>
    <col min="1" max="1" width="9.5" bestFit="1" customWidth="1"/>
    <col min="2" max="2" width="12.83203125" bestFit="1" customWidth="1"/>
    <col min="4" max="4" width="8.33203125" bestFit="1" customWidth="1"/>
    <col min="5" max="5" width="12.83203125" bestFit="1" customWidth="1"/>
    <col min="7" max="7" width="52" customWidth="1"/>
    <col min="8" max="8" width="12.6640625" bestFit="1" customWidth="1"/>
    <col min="9" max="9" width="21.6640625" bestFit="1" customWidth="1"/>
  </cols>
  <sheetData>
    <row r="1" spans="1:8" x14ac:dyDescent="0.2">
      <c r="A1" t="s">
        <v>4</v>
      </c>
      <c r="B1" t="s">
        <v>5</v>
      </c>
      <c r="D1" t="s">
        <v>4</v>
      </c>
      <c r="E1" t="s">
        <v>5</v>
      </c>
      <c r="G1" s="10" t="s">
        <v>2105</v>
      </c>
    </row>
    <row r="2" spans="1:8" x14ac:dyDescent="0.2">
      <c r="A2" t="s">
        <v>20</v>
      </c>
      <c r="B2">
        <v>158</v>
      </c>
      <c r="D2" t="s">
        <v>14</v>
      </c>
      <c r="E2">
        <v>0</v>
      </c>
      <c r="G2" s="12" t="s">
        <v>2107</v>
      </c>
      <c r="H2" s="5">
        <f>AVERAGE(B2:B566)</f>
        <v>851.14690265486729</v>
      </c>
    </row>
    <row r="3" spans="1:8" x14ac:dyDescent="0.2">
      <c r="A3" t="s">
        <v>20</v>
      </c>
      <c r="B3">
        <v>1425</v>
      </c>
      <c r="D3" t="s">
        <v>14</v>
      </c>
      <c r="E3">
        <v>24</v>
      </c>
      <c r="G3" s="12" t="s">
        <v>2108</v>
      </c>
      <c r="H3">
        <f>MEDIAN(B2:B566)</f>
        <v>201</v>
      </c>
    </row>
    <row r="4" spans="1:8" x14ac:dyDescent="0.2">
      <c r="A4" t="s">
        <v>20</v>
      </c>
      <c r="B4">
        <v>174</v>
      </c>
      <c r="D4" t="s">
        <v>14</v>
      </c>
      <c r="E4">
        <v>53</v>
      </c>
      <c r="G4" s="12" t="s">
        <v>2109</v>
      </c>
      <c r="H4">
        <f>MIN(B2:B566)</f>
        <v>16</v>
      </c>
    </row>
    <row r="5" spans="1:8" x14ac:dyDescent="0.2">
      <c r="A5" t="s">
        <v>20</v>
      </c>
      <c r="B5">
        <v>227</v>
      </c>
      <c r="D5" t="s">
        <v>14</v>
      </c>
      <c r="E5">
        <v>18</v>
      </c>
      <c r="G5" s="12" t="s">
        <v>2110</v>
      </c>
      <c r="H5">
        <f>MAX(B2:B566)</f>
        <v>7295</v>
      </c>
    </row>
    <row r="6" spans="1:8" x14ac:dyDescent="0.2">
      <c r="A6" t="s">
        <v>20</v>
      </c>
      <c r="B6">
        <v>220</v>
      </c>
      <c r="D6" t="s">
        <v>14</v>
      </c>
      <c r="E6">
        <v>44</v>
      </c>
      <c r="G6" s="12" t="s">
        <v>2111</v>
      </c>
      <c r="H6" s="5">
        <f>_xlfn.VAR.P(B2:B566)</f>
        <v>1603373.7324019109</v>
      </c>
    </row>
    <row r="7" spans="1:8" x14ac:dyDescent="0.2">
      <c r="A7" t="s">
        <v>20</v>
      </c>
      <c r="B7">
        <v>98</v>
      </c>
      <c r="D7" t="s">
        <v>14</v>
      </c>
      <c r="E7">
        <v>27</v>
      </c>
      <c r="G7" s="12" t="s">
        <v>2112</v>
      </c>
      <c r="H7" s="5">
        <f>STDEV(B2:B566)</f>
        <v>1267.366006183523</v>
      </c>
    </row>
    <row r="8" spans="1:8" x14ac:dyDescent="0.2">
      <c r="A8" t="s">
        <v>20</v>
      </c>
      <c r="B8">
        <v>100</v>
      </c>
      <c r="D8" t="s">
        <v>14</v>
      </c>
      <c r="E8">
        <v>55</v>
      </c>
    </row>
    <row r="9" spans="1:8" x14ac:dyDescent="0.2">
      <c r="A9" t="s">
        <v>20</v>
      </c>
      <c r="B9">
        <v>1249</v>
      </c>
      <c r="D9" t="s">
        <v>14</v>
      </c>
      <c r="E9">
        <v>200</v>
      </c>
      <c r="G9" s="10" t="s">
        <v>2106</v>
      </c>
    </row>
    <row r="10" spans="1:8" x14ac:dyDescent="0.2">
      <c r="A10" t="s">
        <v>20</v>
      </c>
      <c r="B10">
        <v>1396</v>
      </c>
      <c r="D10" t="s">
        <v>14</v>
      </c>
      <c r="E10">
        <v>452</v>
      </c>
      <c r="G10" s="12" t="s">
        <v>2107</v>
      </c>
      <c r="H10" s="5">
        <f>AVERAGE(E2:E365)</f>
        <v>585.61538461538464</v>
      </c>
    </row>
    <row r="11" spans="1:8" x14ac:dyDescent="0.2">
      <c r="A11" t="s">
        <v>20</v>
      </c>
      <c r="B11">
        <v>890</v>
      </c>
      <c r="D11" t="s">
        <v>14</v>
      </c>
      <c r="E11">
        <v>674</v>
      </c>
      <c r="G11" s="12" t="s">
        <v>2108</v>
      </c>
      <c r="H11">
        <f>MEDIAN(E2:E365)</f>
        <v>114.5</v>
      </c>
    </row>
    <row r="12" spans="1:8" x14ac:dyDescent="0.2">
      <c r="A12" t="s">
        <v>20</v>
      </c>
      <c r="B12">
        <v>142</v>
      </c>
      <c r="D12" t="s">
        <v>14</v>
      </c>
      <c r="E12">
        <v>558</v>
      </c>
      <c r="G12" s="12" t="s">
        <v>2109</v>
      </c>
      <c r="H12">
        <f>MIN(E2:E365)</f>
        <v>0</v>
      </c>
    </row>
    <row r="13" spans="1:8" x14ac:dyDescent="0.2">
      <c r="A13" t="s">
        <v>20</v>
      </c>
      <c r="B13">
        <v>2673</v>
      </c>
      <c r="D13" t="s">
        <v>14</v>
      </c>
      <c r="E13">
        <v>15</v>
      </c>
      <c r="G13" s="12" t="s">
        <v>2110</v>
      </c>
      <c r="H13">
        <f>MAX(E2:E365)</f>
        <v>6080</v>
      </c>
    </row>
    <row r="14" spans="1:8" x14ac:dyDescent="0.2">
      <c r="A14" t="s">
        <v>20</v>
      </c>
      <c r="B14">
        <v>163</v>
      </c>
      <c r="D14" t="s">
        <v>14</v>
      </c>
      <c r="E14">
        <v>2307</v>
      </c>
      <c r="G14" s="12" t="s">
        <v>2111</v>
      </c>
      <c r="H14" s="5">
        <f>_xlfn.VAR.P(E2:E365)</f>
        <v>921574.68174133555</v>
      </c>
    </row>
    <row r="15" spans="1:8" x14ac:dyDescent="0.2">
      <c r="A15" t="s">
        <v>20</v>
      </c>
      <c r="B15">
        <v>2220</v>
      </c>
      <c r="D15" t="s">
        <v>14</v>
      </c>
      <c r="E15">
        <v>88</v>
      </c>
      <c r="G15" s="12" t="s">
        <v>2112</v>
      </c>
      <c r="H15" s="5">
        <f>STDEV(E2:E365)</f>
        <v>961.30819978260524</v>
      </c>
    </row>
    <row r="16" spans="1:8" x14ac:dyDescent="0.2">
      <c r="A16" t="s">
        <v>20</v>
      </c>
      <c r="B16">
        <v>1606</v>
      </c>
      <c r="D16" t="s">
        <v>14</v>
      </c>
      <c r="E16">
        <v>48</v>
      </c>
    </row>
    <row r="17" spans="1:7" x14ac:dyDescent="0.2">
      <c r="A17" t="s">
        <v>20</v>
      </c>
      <c r="B17">
        <v>129</v>
      </c>
      <c r="D17" t="s">
        <v>14</v>
      </c>
      <c r="E17">
        <v>1</v>
      </c>
      <c r="G17" s="14" t="s">
        <v>2115</v>
      </c>
    </row>
    <row r="18" spans="1:7" x14ac:dyDescent="0.2">
      <c r="A18" t="s">
        <v>20</v>
      </c>
      <c r="B18">
        <v>226</v>
      </c>
      <c r="D18" t="s">
        <v>14</v>
      </c>
      <c r="E18">
        <v>1467</v>
      </c>
      <c r="G18" s="12" t="s">
        <v>2114</v>
      </c>
    </row>
    <row r="19" spans="1:7" ht="68" x14ac:dyDescent="0.2">
      <c r="A19" t="s">
        <v>20</v>
      </c>
      <c r="B19">
        <v>5419</v>
      </c>
      <c r="D19" t="s">
        <v>14</v>
      </c>
      <c r="E19">
        <v>75</v>
      </c>
      <c r="G19" s="15" t="s">
        <v>2116</v>
      </c>
    </row>
    <row r="20" spans="1:7" x14ac:dyDescent="0.2">
      <c r="A20" t="s">
        <v>20</v>
      </c>
      <c r="B20">
        <v>165</v>
      </c>
      <c r="D20" t="s">
        <v>14</v>
      </c>
      <c r="E20">
        <v>120</v>
      </c>
    </row>
    <row r="21" spans="1:7" x14ac:dyDescent="0.2">
      <c r="A21" t="s">
        <v>20</v>
      </c>
      <c r="B21">
        <v>1965</v>
      </c>
      <c r="D21" t="s">
        <v>14</v>
      </c>
      <c r="E21">
        <v>2253</v>
      </c>
      <c r="G21" s="10" t="s">
        <v>2117</v>
      </c>
    </row>
    <row r="22" spans="1:7" x14ac:dyDescent="0.2">
      <c r="A22" t="s">
        <v>20</v>
      </c>
      <c r="B22">
        <v>16</v>
      </c>
      <c r="D22" t="s">
        <v>14</v>
      </c>
      <c r="E22">
        <v>5</v>
      </c>
      <c r="G22" s="12" t="s">
        <v>2118</v>
      </c>
    </row>
    <row r="23" spans="1:7" ht="68" x14ac:dyDescent="0.2">
      <c r="A23" t="s">
        <v>20</v>
      </c>
      <c r="B23">
        <v>107</v>
      </c>
      <c r="D23" t="s">
        <v>14</v>
      </c>
      <c r="E23">
        <v>38</v>
      </c>
      <c r="G23" s="16" t="s">
        <v>2119</v>
      </c>
    </row>
    <row r="24" spans="1:7" x14ac:dyDescent="0.2">
      <c r="A24" t="s">
        <v>20</v>
      </c>
      <c r="B24">
        <v>134</v>
      </c>
      <c r="D24" t="s">
        <v>14</v>
      </c>
      <c r="E24">
        <v>12</v>
      </c>
    </row>
    <row r="25" spans="1:7" x14ac:dyDescent="0.2">
      <c r="A25" t="s">
        <v>20</v>
      </c>
      <c r="B25">
        <v>198</v>
      </c>
      <c r="D25" t="s">
        <v>14</v>
      </c>
      <c r="E25">
        <v>1684</v>
      </c>
    </row>
    <row r="26" spans="1:7" x14ac:dyDescent="0.2">
      <c r="A26" t="s">
        <v>20</v>
      </c>
      <c r="B26">
        <v>111</v>
      </c>
      <c r="D26" t="s">
        <v>14</v>
      </c>
      <c r="E26">
        <v>56</v>
      </c>
    </row>
    <row r="27" spans="1:7" x14ac:dyDescent="0.2">
      <c r="A27" t="s">
        <v>20</v>
      </c>
      <c r="B27">
        <v>222</v>
      </c>
      <c r="D27" t="s">
        <v>14</v>
      </c>
      <c r="E27">
        <v>838</v>
      </c>
    </row>
    <row r="28" spans="1:7" x14ac:dyDescent="0.2">
      <c r="A28" t="s">
        <v>20</v>
      </c>
      <c r="B28">
        <v>6212</v>
      </c>
      <c r="D28" t="s">
        <v>14</v>
      </c>
      <c r="E28">
        <v>1000</v>
      </c>
    </row>
    <row r="29" spans="1:7" x14ac:dyDescent="0.2">
      <c r="A29" t="s">
        <v>20</v>
      </c>
      <c r="B29">
        <v>98</v>
      </c>
      <c r="D29" t="s">
        <v>14</v>
      </c>
      <c r="E29">
        <v>1482</v>
      </c>
    </row>
    <row r="30" spans="1:7" x14ac:dyDescent="0.2">
      <c r="A30" t="s">
        <v>20</v>
      </c>
      <c r="B30">
        <v>92</v>
      </c>
      <c r="D30" t="s">
        <v>14</v>
      </c>
      <c r="E30">
        <v>106</v>
      </c>
    </row>
    <row r="31" spans="1:7" x14ac:dyDescent="0.2">
      <c r="A31" t="s">
        <v>20</v>
      </c>
      <c r="B31">
        <v>149</v>
      </c>
      <c r="D31" t="s">
        <v>14</v>
      </c>
      <c r="E31">
        <v>679</v>
      </c>
    </row>
    <row r="32" spans="1:7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(Parent Category)</vt:lpstr>
      <vt:lpstr>Pivot Table (SubCategory)</vt:lpstr>
      <vt:lpstr>Pivot Table (Years)</vt:lpstr>
      <vt:lpstr>Crowd 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Henry, Morgen</cp:lastModifiedBy>
  <dcterms:created xsi:type="dcterms:W3CDTF">2021-09-29T18:52:28Z</dcterms:created>
  <dcterms:modified xsi:type="dcterms:W3CDTF">2023-03-24T02:37:30Z</dcterms:modified>
</cp:coreProperties>
</file>