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24"/>
  <workbookPr filterPrivacy="1" defaultThemeVersion="124226"/>
  <xr:revisionPtr revIDLastSave="0" documentId="13_ncr:1_{52A34C6F-61DE-9E43-AC6F-47F907C9ED31}" xr6:coauthVersionLast="47" xr6:coauthVersionMax="47" xr10:uidLastSave="{00000000-0000-0000-0000-000000000000}"/>
  <bookViews>
    <workbookView xWindow="3440" yWindow="500" windowWidth="30160" windowHeight="19340" firstSheet="1" activeTab="7" xr2:uid="{00000000-000D-0000-FFFF-FFFF00000000}"/>
  </bookViews>
  <sheets>
    <sheet name="1" sheetId="1" r:id="rId1"/>
    <sheet name="2" sheetId="2" r:id="rId2"/>
    <sheet name="3" sheetId="3" r:id="rId3"/>
    <sheet name="4" sheetId="4" r:id="rId4"/>
    <sheet name="5" sheetId="5" r:id="rId5"/>
    <sheet name="6" sheetId="6" r:id="rId6"/>
    <sheet name="7" sheetId="7" r:id="rId7"/>
    <sheet name="8" sheetId="8" r:id="rId8"/>
  </sheets>
  <definedNames>
    <definedName name="_xlnm.Print_Area" localSheetId="7">'8'!$A$1:$F$18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6" l="1"/>
  <c r="C7" i="8" l="1"/>
  <c r="C16" i="8" s="1"/>
  <c r="C13" i="8" s="1"/>
  <c r="E13" i="8" s="1"/>
  <c r="E4" i="8"/>
  <c r="I14" i="7"/>
  <c r="J14" i="7" s="1"/>
  <c r="I13" i="7"/>
  <c r="J13" i="7" s="1"/>
  <c r="G13" i="7"/>
  <c r="G14" i="7"/>
  <c r="F13" i="7"/>
  <c r="F14" i="7"/>
  <c r="F12" i="7"/>
  <c r="G12" i="7" s="1"/>
  <c r="C2" i="7"/>
  <c r="C12" i="6"/>
  <c r="C13" i="6"/>
  <c r="C11" i="6"/>
  <c r="F11" i="6"/>
  <c r="D11" i="6"/>
  <c r="D12" i="6" s="1"/>
  <c r="E9" i="6"/>
  <c r="D9" i="6"/>
  <c r="C9" i="6"/>
  <c r="E18" i="5"/>
  <c r="E12" i="5"/>
  <c r="D11" i="5"/>
  <c r="E11" i="5" s="1"/>
  <c r="D20" i="5"/>
  <c r="D17" i="5"/>
  <c r="D19" i="5" s="1"/>
  <c r="C9" i="5"/>
  <c r="D9" i="5"/>
  <c r="E9" i="5" s="1"/>
  <c r="D4" i="5"/>
  <c r="C4" i="5"/>
  <c r="D16" i="5"/>
  <c r="D15" i="5"/>
  <c r="E2" i="5"/>
  <c r="C20" i="5" s="1"/>
  <c r="D3" i="5"/>
  <c r="C3" i="5"/>
  <c r="I3" i="4"/>
  <c r="E8" i="5"/>
  <c r="E10" i="5"/>
  <c r="E7" i="5"/>
  <c r="K3" i="4"/>
  <c r="M9" i="4"/>
  <c r="M4" i="4"/>
  <c r="M3" i="4"/>
  <c r="K4" i="4"/>
  <c r="K9" i="4"/>
  <c r="I9" i="4"/>
  <c r="G9" i="4"/>
  <c r="G8" i="4"/>
  <c r="B3" i="3"/>
  <c r="C29" i="3" s="1"/>
  <c r="C26" i="3"/>
  <c r="B26" i="3"/>
  <c r="C23" i="3"/>
  <c r="C28" i="3" s="1"/>
  <c r="C30" i="3" s="1"/>
  <c r="C22" i="3"/>
  <c r="B4" i="3" s="1"/>
  <c r="C18" i="3"/>
  <c r="C19" i="3" s="1"/>
  <c r="I23" i="2"/>
  <c r="I24" i="2" s="1"/>
  <c r="I2" i="2"/>
  <c r="H10" i="2" s="1"/>
  <c r="I20" i="2"/>
  <c r="C16" i="5" l="1"/>
  <c r="E16" i="5" s="1"/>
  <c r="C15" i="5"/>
  <c r="D13" i="6"/>
  <c r="B5" i="3"/>
  <c r="I7" i="2"/>
  <c r="B28" i="3"/>
  <c r="E11" i="6"/>
  <c r="E12" i="6" s="1"/>
  <c r="J12" i="7"/>
  <c r="I12" i="7" s="1"/>
  <c r="F12" i="6"/>
  <c r="H11" i="2"/>
  <c r="I12" i="2"/>
  <c r="I17" i="2" s="1"/>
  <c r="G20" i="2"/>
  <c r="E20" i="2"/>
  <c r="G7" i="2"/>
  <c r="G17" i="2" s="1"/>
  <c r="F11" i="2"/>
  <c r="F10" i="2"/>
  <c r="G12" i="2" s="1"/>
  <c r="G13" i="2"/>
  <c r="G4" i="2"/>
  <c r="I4" i="2" s="1"/>
  <c r="H17" i="2" s="1"/>
  <c r="E7" i="2"/>
  <c r="D17" i="2" s="1"/>
  <c r="D11" i="2"/>
  <c r="D10" i="2"/>
  <c r="E13" i="2"/>
  <c r="E12" i="2"/>
  <c r="F17" i="2" l="1"/>
  <c r="E13" i="6"/>
  <c r="F13" i="6" s="1"/>
  <c r="C17" i="5"/>
  <c r="E15" i="5"/>
  <c r="D19" i="2"/>
  <c r="I13" i="2"/>
  <c r="E19" i="2"/>
  <c r="E17" i="2"/>
  <c r="E14" i="2"/>
  <c r="E9" i="1"/>
  <c r="E11" i="1"/>
  <c r="E12" i="1"/>
  <c r="E14" i="1"/>
  <c r="E15" i="1"/>
  <c r="F15" i="1"/>
  <c r="F21" i="1" s="1"/>
  <c r="F13" i="1"/>
  <c r="F6" i="1"/>
  <c r="F5" i="1"/>
  <c r="F7" i="1" s="1"/>
  <c r="D21" i="1"/>
  <c r="C21" i="1"/>
  <c r="C10" i="1"/>
  <c r="C23" i="1" s="1"/>
  <c r="B23" i="1" s="1"/>
  <c r="C24" i="1" s="1"/>
  <c r="D5" i="1"/>
  <c r="D6" i="1"/>
  <c r="E6" i="1" s="1"/>
  <c r="D13" i="1"/>
  <c r="E13" i="1" s="1"/>
  <c r="C7" i="1"/>
  <c r="D10" i="1" l="1"/>
  <c r="D16" i="1" s="1"/>
  <c r="H22" i="2"/>
  <c r="I22" i="2"/>
  <c r="C16" i="1"/>
  <c r="C17" i="1" s="1"/>
  <c r="C19" i="5"/>
  <c r="E19" i="5" s="1"/>
  <c r="E17" i="5"/>
  <c r="I14" i="2"/>
  <c r="I19" i="2" s="1"/>
  <c r="G14" i="2"/>
  <c r="F24" i="1"/>
  <c r="F25" i="1" s="1"/>
  <c r="D23" i="1"/>
  <c r="D24" i="1"/>
  <c r="E24" i="1"/>
  <c r="E21" i="1"/>
  <c r="D20" i="1"/>
  <c r="D7" i="1"/>
  <c r="F10" i="1"/>
  <c r="F16" i="1" s="1"/>
  <c r="F17" i="1" s="1"/>
  <c r="E5" i="1"/>
  <c r="E7" i="1" s="1"/>
  <c r="C20" i="1"/>
  <c r="D25" i="1"/>
  <c r="C25" i="1"/>
  <c r="F19" i="2" l="1"/>
  <c r="G19" i="2"/>
  <c r="H19" i="2"/>
  <c r="D17" i="1"/>
  <c r="F23" i="1"/>
  <c r="E10" i="1"/>
  <c r="E23" i="1"/>
  <c r="F20" i="1"/>
  <c r="E25" i="1"/>
  <c r="E20" i="1" l="1"/>
  <c r="E16" i="1"/>
  <c r="E17" i="1" s="1"/>
  <c r="E11" i="4"/>
  <c r="G7" i="4"/>
  <c r="G2" i="4"/>
  <c r="I2" i="4" s="1"/>
  <c r="I8" i="4" l="1"/>
  <c r="I7" i="4"/>
  <c r="I11" i="4" s="1"/>
  <c r="H11" i="4" s="1"/>
  <c r="K2" i="4"/>
  <c r="M2" i="4"/>
  <c r="M7" i="4" s="1"/>
  <c r="L7" i="4" s="1"/>
  <c r="H7" i="4"/>
  <c r="F7" i="4"/>
  <c r="M8" i="4"/>
  <c r="M11" i="4" s="1"/>
  <c r="L11" i="4" s="1"/>
  <c r="G11" i="4"/>
  <c r="F11" i="4" s="1"/>
  <c r="K8" i="4" l="1"/>
  <c r="K7" i="4"/>
  <c r="K11" i="4" s="1"/>
  <c r="J11" i="4" s="1"/>
  <c r="E20" i="5"/>
  <c r="J7"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000-000001000000}">
      <text>
        <r>
          <rPr>
            <b/>
            <sz val="9"/>
            <color indexed="81"/>
            <rFont val="Tahoma"/>
            <family val="2"/>
          </rPr>
          <t>Task 6</t>
        </r>
        <r>
          <rPr>
            <sz val="9"/>
            <color indexed="81"/>
            <rFont val="Tahoma"/>
            <family val="2"/>
          </rPr>
          <t xml:space="preserve">
</t>
        </r>
      </text>
    </comment>
    <comment ref="D17" authorId="0" shapeId="0" xr:uid="{00000000-0006-0000-0000-000002000000}">
      <text>
        <r>
          <rPr>
            <b/>
            <sz val="9"/>
            <color indexed="81"/>
            <rFont val="Tahoma"/>
            <family val="2"/>
          </rPr>
          <t>Task 3</t>
        </r>
        <r>
          <rPr>
            <sz val="9"/>
            <color indexed="81"/>
            <rFont val="Tahoma"/>
            <family val="2"/>
          </rPr>
          <t xml:space="preserve">
</t>
        </r>
      </text>
    </comment>
    <comment ref="E17" authorId="0" shapeId="0" xr:uid="{00000000-0006-0000-0000-000003000000}">
      <text>
        <r>
          <rPr>
            <b/>
            <sz val="9"/>
            <color indexed="81"/>
            <rFont val="Tahoma"/>
            <family val="2"/>
          </rPr>
          <t>Task 5</t>
        </r>
        <r>
          <rPr>
            <sz val="9"/>
            <color indexed="81"/>
            <rFont val="Tahoma"/>
            <family val="2"/>
          </rPr>
          <t xml:space="preserve">
</t>
        </r>
      </text>
    </comment>
    <comment ref="B23" authorId="0" shapeId="0" xr:uid="{00000000-0006-0000-0000-000004000000}">
      <text>
        <r>
          <rPr>
            <b/>
            <sz val="9"/>
            <color indexed="81"/>
            <rFont val="Tahoma"/>
            <family val="2"/>
          </rPr>
          <t>Task 2</t>
        </r>
        <r>
          <rPr>
            <sz val="9"/>
            <color indexed="81"/>
            <rFont val="Tahoma"/>
            <family val="2"/>
          </rPr>
          <t xml:space="preserve">
</t>
        </r>
      </text>
    </comment>
    <comment ref="C23" authorId="0" shapeId="0" xr:uid="{00000000-0006-0000-0000-000005000000}">
      <text>
        <r>
          <rPr>
            <b/>
            <sz val="9"/>
            <color indexed="81"/>
            <rFont val="Tahoma"/>
            <family val="2"/>
          </rPr>
          <t>Task 1</t>
        </r>
        <r>
          <rPr>
            <sz val="9"/>
            <color indexed="81"/>
            <rFont val="Tahoma"/>
            <family val="2"/>
          </rPr>
          <t xml:space="preserve">
</t>
        </r>
      </text>
    </comment>
    <comment ref="D25" authorId="0" shapeId="0" xr:uid="{00000000-0006-0000-0000-000006000000}">
      <text>
        <r>
          <rPr>
            <b/>
            <sz val="9"/>
            <color indexed="81"/>
            <rFont val="Tahoma"/>
            <family val="2"/>
          </rPr>
          <t>Task 4</t>
        </r>
        <r>
          <rPr>
            <sz val="9"/>
            <color indexed="81"/>
            <rFont val="Tahoma"/>
            <family val="2"/>
          </rPr>
          <t xml:space="preserve">
</t>
        </r>
      </text>
    </comment>
    <comment ref="A28" authorId="0" shapeId="0" xr:uid="{00000000-0006-0000-0000-000007000000}">
      <text>
        <r>
          <rPr>
            <b/>
            <sz val="9"/>
            <color indexed="81"/>
            <rFont val="Tahoma"/>
            <family val="2"/>
          </rPr>
          <t>Task 5</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7" authorId="0" shapeId="0" xr:uid="{00000000-0006-0000-0100-000001000000}">
      <text>
        <r>
          <rPr>
            <sz val="9"/>
            <color rgb="FF000000"/>
            <rFont val="Tahoma"/>
            <family val="2"/>
          </rPr>
          <t>Task b</t>
        </r>
      </text>
    </comment>
    <comment ref="I7" authorId="0" shapeId="0" xr:uid="{00000000-0006-0000-0100-000002000000}">
      <text>
        <r>
          <rPr>
            <sz val="9"/>
            <color rgb="FF000000"/>
            <rFont val="Tahoma"/>
            <family val="2"/>
          </rPr>
          <t>Task c</t>
        </r>
      </text>
    </comment>
    <comment ref="B18" authorId="0" shapeId="0" xr:uid="{00000000-0006-0000-0100-000003000000}">
      <text>
        <r>
          <rPr>
            <sz val="9"/>
            <color rgb="FF000000"/>
            <rFont val="Tahoma"/>
            <family val="2"/>
          </rPr>
          <t>Task a</t>
        </r>
      </text>
    </comment>
    <comment ref="I24" authorId="0" shapeId="0" xr:uid="{00000000-0006-0000-0100-000004000000}">
      <text>
        <r>
          <rPr>
            <sz val="9"/>
            <color rgb="FF000000"/>
            <rFont val="Tahoma"/>
            <family val="2"/>
          </rPr>
          <t>Task 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26" authorId="0" shapeId="0" xr:uid="{00000000-0006-0000-0200-000001000000}">
      <text>
        <r>
          <rPr>
            <sz val="9"/>
            <color rgb="FF000000"/>
            <rFont val="Tahoma"/>
            <family val="2"/>
          </rPr>
          <t>Task 2</t>
        </r>
      </text>
    </comment>
    <comment ref="C26" authorId="0" shapeId="0" xr:uid="{00000000-0006-0000-0200-000002000000}">
      <text>
        <r>
          <rPr>
            <sz val="9"/>
            <color rgb="FF000000"/>
            <rFont val="Tahoma"/>
            <family val="2"/>
          </rPr>
          <t>Task 1</t>
        </r>
      </text>
    </comment>
    <comment ref="C28" authorId="0" shapeId="0" xr:uid="{00000000-0006-0000-0200-000003000000}">
      <text>
        <r>
          <rPr>
            <sz val="9"/>
            <color rgb="FF000000"/>
            <rFont val="Tahoma"/>
            <family val="2"/>
          </rPr>
          <t>Task 3</t>
        </r>
      </text>
    </comment>
    <comment ref="B29" authorId="0" shapeId="0" xr:uid="{00000000-0006-0000-0200-000004000000}">
      <text>
        <r>
          <rPr>
            <sz val="9"/>
            <color rgb="FF000000"/>
            <rFont val="Tahoma"/>
            <family val="2"/>
          </rPr>
          <t>Task 4</t>
        </r>
      </text>
    </comment>
    <comment ref="C30" authorId="0" shapeId="0" xr:uid="{00000000-0006-0000-0200-000005000000}">
      <text>
        <r>
          <rPr>
            <sz val="9"/>
            <color rgb="FF000000"/>
            <rFont val="Tahoma"/>
            <family val="2"/>
          </rPr>
          <t xml:space="preserve">Task 5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E4" authorId="0" shapeId="0" xr:uid="{00000000-0006-0000-0700-000001000000}">
      <text>
        <r>
          <rPr>
            <sz val="9"/>
            <color rgb="FF000000"/>
            <rFont val="Tahoma"/>
            <family val="2"/>
          </rPr>
          <t xml:space="preserve">Task 1
</t>
        </r>
      </text>
    </comment>
    <comment ref="C7" authorId="0" shapeId="0" xr:uid="{00000000-0006-0000-0700-000002000000}">
      <text>
        <r>
          <rPr>
            <b/>
            <sz val="9"/>
            <color rgb="FF000000"/>
            <rFont val="Tahoma"/>
            <family val="2"/>
          </rPr>
          <t>Task 2</t>
        </r>
        <r>
          <rPr>
            <sz val="9"/>
            <color rgb="FF000000"/>
            <rFont val="Tahoma"/>
            <family val="2"/>
          </rPr>
          <t xml:space="preserve">
</t>
        </r>
      </text>
    </comment>
    <comment ref="C13" authorId="0" shapeId="0" xr:uid="{00000000-0006-0000-0700-000003000000}">
      <text>
        <r>
          <rPr>
            <b/>
            <sz val="9"/>
            <color rgb="FF000000"/>
            <rFont val="Tahoma"/>
            <family val="2"/>
          </rPr>
          <t>Task 3</t>
        </r>
        <r>
          <rPr>
            <sz val="9"/>
            <color rgb="FF000000"/>
            <rFont val="Tahoma"/>
            <family val="2"/>
          </rPr>
          <t xml:space="preserve">
</t>
        </r>
      </text>
    </comment>
    <comment ref="E13" authorId="0" shapeId="0" xr:uid="{00000000-0006-0000-0700-000004000000}">
      <text>
        <r>
          <rPr>
            <b/>
            <sz val="9"/>
            <color rgb="FF000000"/>
            <rFont val="Tahoma"/>
            <family val="2"/>
          </rPr>
          <t>Task 3</t>
        </r>
        <r>
          <rPr>
            <sz val="9"/>
            <color rgb="FF000000"/>
            <rFont val="Tahoma"/>
            <family val="2"/>
          </rPr>
          <t xml:space="preserve">
</t>
        </r>
      </text>
    </comment>
  </commentList>
</comments>
</file>

<file path=xl/sharedStrings.xml><?xml version="1.0" encoding="utf-8"?>
<sst xmlns="http://schemas.openxmlformats.org/spreadsheetml/2006/main" count="194" uniqueCount="118">
  <si>
    <t>McCarthy Men’s Clothing revenues and cost data for 2016 are as follows:</t>
  </si>
  <si>
    <t>Revenues</t>
  </si>
  <si>
    <t>Cost of goods sold</t>
  </si>
  <si>
    <t>Gross margin</t>
  </si>
  <si>
    <t>Operating costs</t>
  </si>
  <si>
    <t>Salaries</t>
  </si>
  <si>
    <t xml:space="preserve"> fixed Sales commission (11% of sales) </t>
  </si>
  <si>
    <t>Depreciation of equipment and fixtures</t>
  </si>
  <si>
    <t>Store rent (€ 4.000,- per month)</t>
  </si>
  <si>
    <t>Operating income (loss)</t>
  </si>
  <si>
    <t>Other operating costs(variable)</t>
  </si>
  <si>
    <t>Other operating costs(fixed)</t>
  </si>
  <si>
    <t>Contribution Margin</t>
  </si>
  <si>
    <t>current</t>
  </si>
  <si>
    <t>advertising costs</t>
  </si>
  <si>
    <t>Margin of safety</t>
  </si>
  <si>
    <t>Break Even point</t>
  </si>
  <si>
    <t>Variable Costs</t>
  </si>
  <si>
    <t>Fixed Costs</t>
  </si>
  <si>
    <t>Total Variable Costs</t>
  </si>
  <si>
    <t>Total Fixed Costs</t>
  </si>
  <si>
    <t>Total Operating costs</t>
  </si>
  <si>
    <r>
      <t>15% revenue</t>
    </r>
    <r>
      <rPr>
        <sz val="11"/>
        <color theme="0"/>
        <rFont val="Calibri"/>
        <family val="2"/>
      </rPr>
      <t>↑</t>
    </r>
  </si>
  <si>
    <r>
      <t>2%</t>
    </r>
    <r>
      <rPr>
        <sz val="11"/>
        <color theme="0"/>
        <rFont val="Calibri"/>
        <family val="2"/>
      </rPr>
      <t>↓</t>
    </r>
    <r>
      <rPr>
        <sz val="11"/>
        <color theme="0"/>
        <rFont val="Calibri"/>
        <family val="2"/>
        <scheme val="minor"/>
      </rPr>
      <t xml:space="preserve">salary,
1% </t>
    </r>
    <r>
      <rPr>
        <sz val="11"/>
        <color theme="0"/>
        <rFont val="Calibri"/>
        <family val="2"/>
      </rPr>
      <t>↓</t>
    </r>
    <r>
      <rPr>
        <sz val="11"/>
        <color theme="0"/>
        <rFont val="Calibri"/>
        <family val="2"/>
        <scheme val="minor"/>
      </rPr>
      <t>commision</t>
    </r>
  </si>
  <si>
    <r>
      <t>30% revenue</t>
    </r>
    <r>
      <rPr>
        <sz val="11"/>
        <color theme="0"/>
        <rFont val="Calibri"/>
        <family val="2"/>
      </rPr>
      <t>↑</t>
    </r>
  </si>
  <si>
    <t>Income Statement</t>
  </si>
  <si>
    <t>Variable costs</t>
  </si>
  <si>
    <t>Fixed costs</t>
  </si>
  <si>
    <t>Revenue</t>
  </si>
  <si>
    <t>costs</t>
  </si>
  <si>
    <t>Commission</t>
  </si>
  <si>
    <t>Other V Costs</t>
  </si>
  <si>
    <t>Operating income</t>
  </si>
  <si>
    <t>BEP</t>
  </si>
  <si>
    <t>orders</t>
  </si>
  <si>
    <t>sale per unit</t>
  </si>
  <si>
    <t>Point</t>
  </si>
  <si>
    <t>amount</t>
  </si>
  <si>
    <t>Variable cost per unit</t>
  </si>
  <si>
    <t>Current Year</t>
  </si>
  <si>
    <t>MOS</t>
  </si>
  <si>
    <t>BEP without profit</t>
  </si>
  <si>
    <t xml:space="preserve">Investment: </t>
  </si>
  <si>
    <t xml:space="preserve">Salaries fixed </t>
  </si>
  <si>
    <t xml:space="preserve">Depreciation of equipment and fixtures  </t>
  </si>
  <si>
    <t xml:space="preserve">HQ rent (€ 7.000,- per month)  </t>
  </si>
  <si>
    <t xml:space="preserve">Warehouse/Truck-Station rent </t>
  </si>
  <si>
    <t xml:space="preserve">Other operating costs (V=8) </t>
  </si>
  <si>
    <t xml:space="preserve">Advertising </t>
  </si>
  <si>
    <t>Insurance</t>
  </si>
  <si>
    <t xml:space="preserve">Net revenues (for daily deliveries per truck per year) </t>
  </si>
  <si>
    <t xml:space="preserve">Other operating costs (Variable) </t>
  </si>
  <si>
    <t xml:space="preserve">Other operating costs (Fixed) </t>
  </si>
  <si>
    <t>Number of input/output</t>
  </si>
  <si>
    <t>Question: When it comes to MOS, we consider only the BEP without any budgeted profit or it should take into the account?</t>
  </si>
  <si>
    <t>sale per unit per day</t>
  </si>
  <si>
    <t>In order to improve the operating income, we have to analyze deeply on the different operations and what-if effects of different cost elements according to the specific quality instructions of industry. Furthermore, analyzing the efficiency of diverse cost centers and remove and cut the idle labor and energy. The efficiency sometimes could be incresed by automazation and using machines. We have to make sure that the low level of the revenue is not related to the company’s problems. Either the quality of the products is lower than the market expectations and could not fulfill consumer’s needs, or the price of products are higher than the value the consumers gain from. We also need to ensure the target market needs more products, however, the company has failed to produce or deliver enough products to satisfy the demands.</t>
  </si>
  <si>
    <t>Task 4</t>
  </si>
  <si>
    <t>Task 3</t>
  </si>
  <si>
    <t>Task 2</t>
  </si>
  <si>
    <t>Task 1</t>
  </si>
  <si>
    <t>Current Situation</t>
  </si>
  <si>
    <t>Demand</t>
  </si>
  <si>
    <t>When buying a new facility, paying attention to the cost changes is considered to be important. What-if strategy enable management to estimate the changes in profit if some of the production elements change. In this case, although the sales would increase by 60%, the variable cost related to the sales raise and fixed cost would be doubled making the profit higher only 10%.</t>
  </si>
  <si>
    <t xml:space="preserve">Trent </t>
  </si>
  <si>
    <t xml:space="preserve">Julie </t>
  </si>
  <si>
    <t>Total</t>
  </si>
  <si>
    <t>variable costs</t>
  </si>
  <si>
    <t>contribution margin</t>
  </si>
  <si>
    <t>fixed costs</t>
  </si>
  <si>
    <t>operating income</t>
  </si>
  <si>
    <t>machine hours</t>
  </si>
  <si>
    <t>I recommend not to jump into the order of extra productopn for Julie because the company could suffer loss of 9.600 Euro in this regard.</t>
  </si>
  <si>
    <t>A</t>
  </si>
  <si>
    <t>B</t>
  </si>
  <si>
    <t>C</t>
  </si>
  <si>
    <t>Capacity (min)</t>
  </si>
  <si>
    <t>max. amount of production (piece)</t>
  </si>
  <si>
    <t>CM</t>
  </si>
  <si>
    <t>Combination of using machine (min)</t>
  </si>
  <si>
    <t>Relative CM</t>
  </si>
  <si>
    <t>Order of production</t>
  </si>
  <si>
    <t>Product Information</t>
  </si>
  <si>
    <t>Time/unit</t>
  </si>
  <si>
    <t>Net sales/unit</t>
  </si>
  <si>
    <t>Max. production</t>
  </si>
  <si>
    <t>Advil Pkg</t>
  </si>
  <si>
    <t>4,6 min</t>
  </si>
  <si>
    <t>Asperin Pkg</t>
  </si>
  <si>
    <t>1 min</t>
  </si>
  <si>
    <t>Tomaperin Pkg</t>
  </si>
  <si>
    <t>3 min</t>
  </si>
  <si>
    <t>Capacity/min per day</t>
  </si>
  <si>
    <t xml:space="preserve">Optimal production </t>
  </si>
  <si>
    <t>capacity in machine hours</t>
  </si>
  <si>
    <t>capacity in machine min</t>
  </si>
  <si>
    <t>sales 2019</t>
  </si>
  <si>
    <t>units</t>
  </si>
  <si>
    <t>ending inventory</t>
  </si>
  <si>
    <t>beginning inventory</t>
  </si>
  <si>
    <t>selling price</t>
  </si>
  <si>
    <t>buying 2019</t>
  </si>
  <si>
    <t>production</t>
  </si>
  <si>
    <t>Purchasing cost</t>
  </si>
  <si>
    <t>buy price</t>
  </si>
  <si>
    <t>Reviewing the different scenarios of manufacturing or outsourcing to decrease wheel costs. Moreover,there maybe possible to get discounts on the purchasing prices or find supplier to deliver materials in cheaper prices making costs more effective.</t>
  </si>
  <si>
    <t>0,70</t>
  </si>
  <si>
    <t>Task C</t>
  </si>
  <si>
    <t>Task B</t>
  </si>
  <si>
    <t>PROBLEM 1</t>
  </si>
  <si>
    <t>PROBLEM 8</t>
  </si>
  <si>
    <t>PROBLEM 2</t>
  </si>
  <si>
    <t>PROBLEM 3</t>
  </si>
  <si>
    <t>PROBLEM 4</t>
  </si>
  <si>
    <t>PROBLEM 5</t>
  </si>
  <si>
    <t>PROBLEM 6</t>
  </si>
  <si>
    <t>PROBLEM 7</t>
  </si>
  <si>
    <t xml:space="preserve">Question: When it comes to BEP, we have to round decimal point into the higher intger number or  not. Because the decimal points are more likely to be meaningless in eg.numer of production.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</si>
</sst>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2]\ #,##0.00;[Red]\-[$€-2]\ #,##0.00"/>
    <numFmt numFmtId="165" formatCode="[$€-2]\ #,##0.00;[Red][$€-2]\ #,##0.00"/>
    <numFmt numFmtId="166" formatCode="_(* #,##0.0_);_(* \(#,##0.0\);_(* &quot;-&quot;??_);_(@_)"/>
    <numFmt numFmtId="167" formatCode="&quot;$&quot;#,##0.00"/>
    <numFmt numFmtId="168" formatCode="0.0%"/>
    <numFmt numFmtId="169" formatCode="&quot;$&quot;#,##0.0_);[Red]\(%#,##0.0\)"/>
    <numFmt numFmtId="170" formatCode="[$€-2]\ #,##0.00_);[Red]\([$€-2]\ #,##0.00\)"/>
    <numFmt numFmtId="171" formatCode="_(* #,##0_);_(* \(#,##0\);_(* &quot;-&quot;??_);_(@_)"/>
    <numFmt numFmtId="172" formatCode="0.000"/>
    <numFmt numFmtId="173" formatCode="[$¥-411]#,##0"/>
    <numFmt numFmtId="174" formatCode="[$€-2]\ #,##0.00"/>
    <numFmt numFmtId="175" formatCode="[$€-2]\ #,##0.0_);[Red]\([$€-2]\ #,##0.0\)"/>
  </numFmts>
  <fonts count="22">
    <font>
      <sz val="11"/>
      <color theme="1"/>
      <name val="Calibri"/>
      <family val="2"/>
      <scheme val="minor"/>
    </font>
    <font>
      <sz val="11"/>
      <color theme="0"/>
      <name val="Calibri"/>
      <family val="2"/>
      <scheme val="minor"/>
    </font>
    <font>
      <sz val="12"/>
      <color rgb="FF000000"/>
      <name val="Times-Roman"/>
    </font>
    <font>
      <sz val="11"/>
      <color theme="0"/>
      <name val="Calibri"/>
      <family val="2"/>
    </font>
    <font>
      <sz val="12"/>
      <color theme="0"/>
      <name val="Times-Roman"/>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val="double"/>
      <sz val="11"/>
      <color theme="4" tint="-0.499984740745262"/>
      <name val="Calibri"/>
      <family val="2"/>
      <scheme val="minor"/>
    </font>
    <font>
      <sz val="10"/>
      <name val="Times New Roman"/>
      <family val="1"/>
      <charset val="204"/>
    </font>
    <font>
      <sz val="11"/>
      <color indexed="8"/>
      <name val="Calibri"/>
      <family val="2"/>
      <scheme val="minor"/>
    </font>
    <font>
      <b/>
      <sz val="12"/>
      <color theme="0"/>
      <name val="Calibri"/>
      <family val="2"/>
      <scheme val="minor"/>
    </font>
    <font>
      <b/>
      <sz val="12"/>
      <color indexed="8"/>
      <name val="Times New Roman"/>
      <family val="2"/>
    </font>
    <font>
      <sz val="12"/>
      <color indexed="8"/>
      <name val="Times New Roman"/>
      <family val="2"/>
    </font>
    <font>
      <sz val="11"/>
      <color indexed="8"/>
      <name val="Arial"/>
      <family val="2"/>
    </font>
    <font>
      <b/>
      <sz val="11"/>
      <color indexed="8"/>
      <name val="Times New Roman"/>
      <family val="2"/>
    </font>
    <font>
      <sz val="11"/>
      <color indexed="8"/>
      <name val="Times New Roman"/>
      <family val="2"/>
    </font>
    <font>
      <b/>
      <sz val="11"/>
      <color theme="0"/>
      <name val="Times New Roman"/>
      <family val="2"/>
    </font>
    <font>
      <b/>
      <i/>
      <u/>
      <sz val="14"/>
      <color theme="0"/>
      <name val="Calibri"/>
      <family val="2"/>
      <scheme val="minor"/>
    </font>
    <font>
      <sz val="9"/>
      <color rgb="FF000000"/>
      <name val="Tahoma"/>
      <family val="2"/>
    </font>
    <font>
      <b/>
      <sz val="9"/>
      <color rgb="FF000000"/>
      <name val="Tahoma"/>
      <family val="2"/>
    </font>
  </fonts>
  <fills count="15">
    <fill>
      <patternFill patternType="none"/>
    </fill>
    <fill>
      <patternFill patternType="gray125"/>
    </fill>
    <fill>
      <patternFill patternType="solid">
        <fgColor theme="4" tint="0.59999389629810485"/>
        <bgColor indexed="64"/>
      </patternFill>
    </fill>
    <fill>
      <patternFill patternType="solid">
        <fgColor theme="3"/>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2"/>
        <bgColor indexed="64"/>
      </patternFill>
    </fill>
    <fill>
      <patternFill patternType="solid">
        <fgColor theme="1"/>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3" tint="-0.499984740745262"/>
        <bgColor indexed="64"/>
      </patternFill>
    </fill>
    <fill>
      <patternFill patternType="solid">
        <fgColor theme="3" tint="0.59999389629810485"/>
        <bgColor indexed="64"/>
      </patternFill>
    </fill>
    <fill>
      <patternFill patternType="solid">
        <fgColor theme="4" tint="-0.499984740745262"/>
        <bgColor indexed="64"/>
      </patternFill>
    </fill>
    <fill>
      <patternFill patternType="lightGray">
        <fgColor theme="2" tint="-0.749961851863155"/>
        <bgColor rgb="FF63590F"/>
      </patternFill>
    </fill>
  </fills>
  <borders count="88">
    <border>
      <left/>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top style="thin">
        <color indexed="64"/>
      </top>
      <bottom style="double">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medium">
        <color indexed="64"/>
      </left>
      <right style="thin">
        <color rgb="FF000000"/>
      </right>
      <top style="medium">
        <color indexed="64"/>
      </top>
      <bottom style="hair">
        <color indexed="64"/>
      </bottom>
      <diagonal/>
    </border>
    <border>
      <left style="thin">
        <color rgb="FF000000"/>
      </left>
      <right style="thin">
        <color rgb="FF000000"/>
      </right>
      <top style="medium">
        <color indexed="64"/>
      </top>
      <bottom style="hair">
        <color indexed="64"/>
      </bottom>
      <diagonal/>
    </border>
    <border>
      <left style="medium">
        <color indexed="64"/>
      </left>
      <right style="thin">
        <color rgb="FF000000"/>
      </right>
      <top style="hair">
        <color indexed="64"/>
      </top>
      <bottom style="hair">
        <color indexed="64"/>
      </bottom>
      <diagonal/>
    </border>
    <border>
      <left style="thin">
        <color rgb="FF000000"/>
      </left>
      <right style="thin">
        <color rgb="FF000000"/>
      </right>
      <top style="hair">
        <color indexed="64"/>
      </top>
      <bottom style="hair">
        <color indexed="64"/>
      </bottom>
      <diagonal/>
    </border>
    <border>
      <left style="medium">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medium">
        <color indexed="64"/>
      </left>
      <right style="thin">
        <color rgb="FF000000"/>
      </right>
      <top style="hair">
        <color indexed="64"/>
      </top>
      <bottom style="medium">
        <color indexed="64"/>
      </bottom>
      <diagonal/>
    </border>
    <border>
      <left style="thin">
        <color rgb="FF000000"/>
      </left>
      <right style="thin">
        <color rgb="FF000000"/>
      </right>
      <top style="hair">
        <color indexed="64"/>
      </top>
      <bottom style="medium">
        <color indexed="64"/>
      </bottom>
      <diagonal/>
    </border>
    <border>
      <left style="medium">
        <color rgb="FF000000"/>
      </left>
      <right style="thin">
        <color rgb="FF000000"/>
      </right>
      <top style="medium">
        <color rgb="FF000000"/>
      </top>
      <bottom style="hair">
        <color rgb="FF000000"/>
      </bottom>
      <diagonal/>
    </border>
    <border>
      <left style="thin">
        <color rgb="FF000000"/>
      </left>
      <right style="thin">
        <color rgb="FF000000"/>
      </right>
      <top style="medium">
        <color rgb="FF000000"/>
      </top>
      <bottom style="hair">
        <color rgb="FF000000"/>
      </bottom>
      <diagonal/>
    </border>
    <border>
      <left style="thin">
        <color rgb="FF000000"/>
      </left>
      <right style="medium">
        <color rgb="FF000000"/>
      </right>
      <top style="medium">
        <color rgb="FF000000"/>
      </top>
      <bottom style="hair">
        <color rgb="FF000000"/>
      </bottom>
      <diagonal/>
    </border>
    <border>
      <left style="medium">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medium">
        <color rgb="FF000000"/>
      </right>
      <top style="hair">
        <color rgb="FF000000"/>
      </top>
      <bottom style="hair">
        <color rgb="FF000000"/>
      </bottom>
      <diagonal/>
    </border>
    <border>
      <left style="medium">
        <color rgb="FF000000"/>
      </left>
      <right style="thin">
        <color rgb="FF000000"/>
      </right>
      <top style="hair">
        <color rgb="FF000000"/>
      </top>
      <bottom style="medium">
        <color rgb="FF000000"/>
      </bottom>
      <diagonal/>
    </border>
    <border>
      <left style="thin">
        <color rgb="FF000000"/>
      </left>
      <right style="thin">
        <color rgb="FF000000"/>
      </right>
      <top style="hair">
        <color rgb="FF000000"/>
      </top>
      <bottom style="medium">
        <color rgb="FF000000"/>
      </bottom>
      <diagonal/>
    </border>
    <border>
      <left style="thin">
        <color rgb="FF000000"/>
      </left>
      <right style="medium">
        <color rgb="FF000000"/>
      </right>
      <top style="hair">
        <color rgb="FF000000"/>
      </top>
      <bottom style="medium">
        <color rgb="FF000000"/>
      </bottom>
      <diagonal/>
    </border>
    <border>
      <left style="medium">
        <color indexed="64"/>
      </left>
      <right style="thin">
        <color indexed="64"/>
      </right>
      <top style="medium">
        <color indexed="64"/>
      </top>
      <bottom style="dashed">
        <color indexed="64"/>
      </bottom>
      <diagonal/>
    </border>
    <border>
      <left style="thin">
        <color indexed="64"/>
      </left>
      <right style="thin">
        <color indexed="64"/>
      </right>
      <top style="medium">
        <color indexed="64"/>
      </top>
      <bottom style="dashed">
        <color indexed="64"/>
      </bottom>
      <diagonal/>
    </border>
    <border>
      <left style="thin">
        <color indexed="64"/>
      </left>
      <right style="medium">
        <color indexed="64"/>
      </right>
      <top style="medium">
        <color indexed="64"/>
      </top>
      <bottom style="dashed">
        <color indexed="64"/>
      </bottom>
      <diagonal/>
    </border>
    <border>
      <left style="medium">
        <color indexed="64"/>
      </left>
      <right style="thin">
        <color indexed="64"/>
      </right>
      <top style="dashed">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medium">
        <color indexed="64"/>
      </right>
      <top style="dashed">
        <color indexed="64"/>
      </top>
      <bottom style="dashed">
        <color indexed="64"/>
      </bottom>
      <diagonal/>
    </border>
    <border>
      <left style="medium">
        <color indexed="64"/>
      </left>
      <right style="thin">
        <color indexed="64"/>
      </right>
      <top style="dashed">
        <color indexed="64"/>
      </top>
      <bottom style="medium">
        <color indexed="64"/>
      </bottom>
      <diagonal/>
    </border>
    <border>
      <left style="thin">
        <color indexed="64"/>
      </left>
      <right style="thin">
        <color indexed="64"/>
      </right>
      <top style="dashed">
        <color indexed="64"/>
      </top>
      <bottom style="medium">
        <color indexed="64"/>
      </bottom>
      <diagonal/>
    </border>
    <border>
      <left style="thin">
        <color indexed="64"/>
      </left>
      <right style="medium">
        <color indexed="64"/>
      </right>
      <top style="dashed">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theme="2" tint="-0.499984740745262"/>
      </top>
      <bottom style="hair">
        <color theme="2" tint="-0.499984740745262"/>
      </bottom>
      <diagonal/>
    </border>
    <border>
      <left style="thin">
        <color indexed="64"/>
      </left>
      <right style="medium">
        <color theme="2" tint="-0.499984740745262"/>
      </right>
      <top style="medium">
        <color theme="2" tint="-0.499984740745262"/>
      </top>
      <bottom style="hair">
        <color theme="2" tint="-0.499984740745262"/>
      </bottom>
      <diagonal/>
    </border>
    <border>
      <left style="thin">
        <color indexed="64"/>
      </left>
      <right style="thin">
        <color indexed="64"/>
      </right>
      <top style="hair">
        <color theme="2" tint="-0.499984740745262"/>
      </top>
      <bottom style="medium">
        <color theme="2" tint="-0.499984740745262"/>
      </bottom>
      <diagonal/>
    </border>
    <border>
      <left style="thin">
        <color indexed="64"/>
      </left>
      <right style="medium">
        <color theme="2" tint="-0.499984740745262"/>
      </right>
      <top style="hair">
        <color theme="2" tint="-0.499984740745262"/>
      </top>
      <bottom style="medium">
        <color theme="2" tint="-0.499984740745262"/>
      </bottom>
      <diagonal/>
    </border>
    <border>
      <left style="medium">
        <color theme="2" tint="-0.499984740745262"/>
      </left>
      <right/>
      <top style="medium">
        <color theme="2" tint="-0.499984740745262"/>
      </top>
      <bottom style="hair">
        <color theme="2" tint="-0.499984740745262"/>
      </bottom>
      <diagonal/>
    </border>
    <border>
      <left/>
      <right style="thin">
        <color indexed="64"/>
      </right>
      <top style="medium">
        <color theme="2" tint="-0.499984740745262"/>
      </top>
      <bottom style="hair">
        <color theme="2" tint="-0.499984740745262"/>
      </bottom>
      <diagonal/>
    </border>
    <border>
      <left style="medium">
        <color theme="2" tint="-0.499984740745262"/>
      </left>
      <right/>
      <top style="hair">
        <color theme="2" tint="-0.499984740745262"/>
      </top>
      <bottom style="medium">
        <color theme="2" tint="-0.499984740745262"/>
      </bottom>
      <diagonal/>
    </border>
    <border>
      <left/>
      <right style="thin">
        <color indexed="64"/>
      </right>
      <top style="hair">
        <color theme="2" tint="-0.499984740745262"/>
      </top>
      <bottom style="medium">
        <color theme="2" tint="-0.499984740745262"/>
      </bottom>
      <diagonal/>
    </border>
    <border>
      <left style="medium">
        <color theme="6" tint="-0.499984740745262"/>
      </left>
      <right style="thin">
        <color theme="6" tint="-0.499984740745262"/>
      </right>
      <top style="medium">
        <color theme="6" tint="-0.499984740745262"/>
      </top>
      <bottom style="hair">
        <color theme="6" tint="-0.499984740745262"/>
      </bottom>
      <diagonal/>
    </border>
    <border>
      <left style="thin">
        <color theme="6" tint="-0.499984740745262"/>
      </left>
      <right style="thin">
        <color theme="6" tint="-0.499984740745262"/>
      </right>
      <top style="medium">
        <color theme="6" tint="-0.499984740745262"/>
      </top>
      <bottom style="hair">
        <color theme="6" tint="-0.499984740745262"/>
      </bottom>
      <diagonal/>
    </border>
    <border>
      <left style="thin">
        <color theme="6" tint="-0.499984740745262"/>
      </left>
      <right style="medium">
        <color theme="6" tint="-0.499984740745262"/>
      </right>
      <top style="medium">
        <color theme="6" tint="-0.499984740745262"/>
      </top>
      <bottom style="hair">
        <color theme="6" tint="-0.499984740745262"/>
      </bottom>
      <diagonal/>
    </border>
    <border>
      <left style="medium">
        <color theme="6" tint="-0.499984740745262"/>
      </left>
      <right style="thin">
        <color theme="6" tint="-0.499984740745262"/>
      </right>
      <top style="hair">
        <color theme="6" tint="-0.499984740745262"/>
      </top>
      <bottom style="hair">
        <color theme="6" tint="-0.499984740745262"/>
      </bottom>
      <diagonal/>
    </border>
    <border>
      <left style="thin">
        <color theme="6" tint="-0.499984740745262"/>
      </left>
      <right style="thin">
        <color theme="6" tint="-0.499984740745262"/>
      </right>
      <top style="hair">
        <color theme="6" tint="-0.499984740745262"/>
      </top>
      <bottom style="hair">
        <color theme="6" tint="-0.499984740745262"/>
      </bottom>
      <diagonal/>
    </border>
    <border>
      <left style="thin">
        <color theme="6" tint="-0.499984740745262"/>
      </left>
      <right style="medium">
        <color theme="6" tint="-0.499984740745262"/>
      </right>
      <top style="hair">
        <color theme="6" tint="-0.499984740745262"/>
      </top>
      <bottom style="hair">
        <color theme="6" tint="-0.499984740745262"/>
      </bottom>
      <diagonal/>
    </border>
    <border>
      <left style="medium">
        <color theme="6" tint="-0.499984740745262"/>
      </left>
      <right style="thin">
        <color theme="6" tint="-0.499984740745262"/>
      </right>
      <top style="hair">
        <color theme="6" tint="-0.499984740745262"/>
      </top>
      <bottom style="medium">
        <color theme="6" tint="-0.499984740745262"/>
      </bottom>
      <diagonal/>
    </border>
    <border>
      <left style="thin">
        <color theme="6" tint="-0.499984740745262"/>
      </left>
      <right style="thin">
        <color theme="6" tint="-0.499984740745262"/>
      </right>
      <top style="hair">
        <color theme="6" tint="-0.499984740745262"/>
      </top>
      <bottom style="medium">
        <color theme="6" tint="-0.499984740745262"/>
      </bottom>
      <diagonal/>
    </border>
    <border>
      <left style="thin">
        <color theme="6" tint="-0.499984740745262"/>
      </left>
      <right style="medium">
        <color theme="6" tint="-0.499984740745262"/>
      </right>
      <top style="hair">
        <color theme="6" tint="-0.499984740745262"/>
      </top>
      <bottom style="medium">
        <color theme="6" tint="-0.499984740745262"/>
      </bottom>
      <diagonal/>
    </border>
    <border>
      <left style="medium">
        <color theme="6" tint="-0.499984740745262"/>
      </left>
      <right/>
      <top style="medium">
        <color theme="6" tint="-0.499984740745262"/>
      </top>
      <bottom/>
      <diagonal/>
    </border>
    <border>
      <left/>
      <right/>
      <top style="medium">
        <color theme="6" tint="-0.499984740745262"/>
      </top>
      <bottom/>
      <diagonal/>
    </border>
    <border>
      <left/>
      <right style="medium">
        <color theme="6" tint="-0.499984740745262"/>
      </right>
      <top style="medium">
        <color theme="6" tint="-0.499984740745262"/>
      </top>
      <bottom/>
      <diagonal/>
    </border>
    <border>
      <left style="medium">
        <color theme="6" tint="-0.499984740745262"/>
      </left>
      <right/>
      <top/>
      <bottom style="medium">
        <color theme="6" tint="-0.499984740745262"/>
      </bottom>
      <diagonal/>
    </border>
    <border>
      <left/>
      <right/>
      <top/>
      <bottom style="medium">
        <color theme="6" tint="-0.499984740745262"/>
      </bottom>
      <diagonal/>
    </border>
    <border>
      <left/>
      <right style="medium">
        <color theme="6" tint="-0.499984740745262"/>
      </right>
      <top/>
      <bottom style="medium">
        <color theme="6" tint="-0.499984740745262"/>
      </bottom>
      <diagonal/>
    </border>
  </borders>
  <cellStyleXfs count="3">
    <xf numFmtId="0" fontId="0" fillId="0" borderId="0"/>
    <xf numFmtId="43" fontId="5" fillId="0" borderId="0" applyFont="0" applyFill="0" applyBorder="0" applyAlignment="0" applyProtection="0"/>
    <xf numFmtId="44" fontId="5" fillId="0" borderId="0" applyFont="0" applyFill="0" applyBorder="0" applyAlignment="0" applyProtection="0"/>
  </cellStyleXfs>
  <cellXfs count="241">
    <xf numFmtId="0" fontId="0" fillId="0" borderId="0" xfId="0"/>
    <xf numFmtId="0" fontId="2" fillId="0" borderId="0" xfId="0" applyFont="1"/>
    <xf numFmtId="0" fontId="0" fillId="0" borderId="2" xfId="0" applyBorder="1"/>
    <xf numFmtId="0" fontId="0" fillId="0" borderId="5" xfId="0" applyBorder="1"/>
    <xf numFmtId="0" fontId="0" fillId="0" borderId="6" xfId="0" applyBorder="1"/>
    <xf numFmtId="0" fontId="2" fillId="0" borderId="5" xfId="0" applyFont="1" applyBorder="1" applyAlignment="1">
      <alignment vertical="center" wrapText="1"/>
    </xf>
    <xf numFmtId="0" fontId="0" fillId="0" borderId="7" xfId="0" applyBorder="1"/>
    <xf numFmtId="0" fontId="0" fillId="0" borderId="9" xfId="0" applyBorder="1"/>
    <xf numFmtId="164" fontId="0" fillId="0" borderId="11" xfId="0" applyNumberFormat="1" applyBorder="1"/>
    <xf numFmtId="165" fontId="0" fillId="0" borderId="11" xfId="0" applyNumberFormat="1" applyBorder="1"/>
    <xf numFmtId="0" fontId="0" fillId="0" borderId="11" xfId="0" applyBorder="1"/>
    <xf numFmtId="165" fontId="0" fillId="0" borderId="11" xfId="0" applyNumberFormat="1" applyBorder="1" applyAlignment="1">
      <alignment horizontal="left" vertical="center"/>
    </xf>
    <xf numFmtId="165" fontId="0" fillId="0" borderId="13" xfId="0" applyNumberFormat="1" applyBorder="1"/>
    <xf numFmtId="0" fontId="0" fillId="2" borderId="0" xfId="0" applyFill="1"/>
    <xf numFmtId="0" fontId="0" fillId="3" borderId="0" xfId="0" applyFill="1"/>
    <xf numFmtId="0" fontId="0" fillId="4" borderId="0" xfId="0" applyFill="1"/>
    <xf numFmtId="0" fontId="0" fillId="4" borderId="5" xfId="0" applyFill="1" applyBorder="1"/>
    <xf numFmtId="0" fontId="2" fillId="4" borderId="5" xfId="0" applyFont="1" applyFill="1" applyBorder="1" applyAlignment="1">
      <alignment vertical="center" wrapText="1"/>
    </xf>
    <xf numFmtId="0" fontId="0" fillId="5" borderId="5" xfId="0" applyFill="1" applyBorder="1"/>
    <xf numFmtId="0" fontId="2" fillId="5" borderId="5" xfId="0" applyFont="1" applyFill="1" applyBorder="1" applyAlignment="1">
      <alignment vertical="center" wrapText="1"/>
    </xf>
    <xf numFmtId="164" fontId="0" fillId="0" borderId="10" xfId="0" applyNumberFormat="1" applyBorder="1"/>
    <xf numFmtId="165" fontId="0" fillId="0" borderId="12" xfId="0" applyNumberFormat="1" applyBorder="1"/>
    <xf numFmtId="0" fontId="0" fillId="0" borderId="4" xfId="0" applyBorder="1"/>
    <xf numFmtId="165" fontId="0" fillId="0" borderId="6" xfId="0" applyNumberFormat="1" applyBorder="1" applyAlignment="1">
      <alignment vertical="center"/>
    </xf>
    <xf numFmtId="0" fontId="1" fillId="3" borderId="0" xfId="0" applyFont="1" applyFill="1" applyAlignment="1">
      <alignment horizontal="center" vertical="center"/>
    </xf>
    <xf numFmtId="0" fontId="1" fillId="3" borderId="0" xfId="0" applyFont="1" applyFill="1" applyAlignment="1">
      <alignment horizontal="center" vertical="center" wrapText="1"/>
    </xf>
    <xf numFmtId="0" fontId="4" fillId="3" borderId="0" xfId="0" applyFont="1" applyFill="1" applyAlignment="1">
      <alignment horizontal="center" vertical="center"/>
    </xf>
    <xf numFmtId="0" fontId="0" fillId="0" borderId="0" xfId="0" applyAlignment="1">
      <alignment horizontal="center" vertical="center"/>
    </xf>
    <xf numFmtId="0" fontId="0" fillId="7" borderId="0" xfId="0" applyFill="1" applyAlignment="1">
      <alignment horizontal="right" vertical="center"/>
    </xf>
    <xf numFmtId="44" fontId="0" fillId="0" borderId="4" xfId="0" applyNumberFormat="1"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44" fontId="0" fillId="0" borderId="6" xfId="0" applyNumberFormat="1" applyBorder="1" applyAlignment="1">
      <alignment horizontal="center" vertical="center"/>
    </xf>
    <xf numFmtId="10" fontId="0" fillId="0" borderId="5" xfId="0" applyNumberFormat="1" applyBorder="1" applyAlignment="1">
      <alignment horizontal="center" vertical="center"/>
    </xf>
    <xf numFmtId="2" fontId="0" fillId="0" borderId="5" xfId="0" applyNumberFormat="1" applyBorder="1" applyAlignment="1">
      <alignment horizontal="center" vertical="center"/>
    </xf>
    <xf numFmtId="0" fontId="0" fillId="0" borderId="7" xfId="0" applyBorder="1" applyAlignment="1">
      <alignment horizontal="center" vertical="center"/>
    </xf>
    <xf numFmtId="44" fontId="0" fillId="0" borderId="9" xfId="0" applyNumberFormat="1" applyBorder="1" applyAlignment="1">
      <alignment horizontal="center" vertical="center"/>
    </xf>
    <xf numFmtId="166" fontId="0" fillId="0" borderId="5" xfId="1" applyNumberFormat="1" applyFont="1" applyBorder="1" applyAlignment="1">
      <alignment horizontal="center" vertical="center"/>
    </xf>
    <xf numFmtId="166" fontId="0" fillId="0" borderId="6" xfId="1" applyNumberFormat="1" applyFont="1" applyBorder="1" applyAlignment="1">
      <alignment horizontal="center" vertical="center"/>
    </xf>
    <xf numFmtId="10" fontId="0" fillId="0" borderId="5" xfId="1" applyNumberFormat="1" applyFont="1" applyBorder="1" applyAlignment="1">
      <alignment horizontal="center" vertical="center"/>
    </xf>
    <xf numFmtId="166" fontId="0" fillId="0" borderId="4" xfId="1" applyNumberFormat="1" applyFont="1" applyBorder="1"/>
    <xf numFmtId="166" fontId="0" fillId="0" borderId="6" xfId="1" applyNumberFormat="1" applyFont="1" applyBorder="1"/>
    <xf numFmtId="0" fontId="0" fillId="6" borderId="5" xfId="0" applyFill="1" applyBorder="1"/>
    <xf numFmtId="0" fontId="0" fillId="0" borderId="0" xfId="0" applyAlignment="1">
      <alignment horizontal="left" vertical="center"/>
    </xf>
    <xf numFmtId="167" fontId="0" fillId="0" borderId="0" xfId="1" applyNumberFormat="1" applyFont="1" applyAlignment="1">
      <alignment horizontal="left" vertical="center"/>
    </xf>
    <xf numFmtId="0" fontId="0" fillId="0" borderId="5" xfId="0" applyBorder="1" applyAlignment="1">
      <alignment horizontal="center"/>
    </xf>
    <xf numFmtId="0" fontId="6" fillId="0" borderId="5" xfId="0" applyFont="1" applyBorder="1" applyAlignment="1">
      <alignment vertical="center"/>
    </xf>
    <xf numFmtId="0" fontId="6" fillId="0" borderId="6" xfId="0" applyFont="1" applyBorder="1"/>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1" fillId="9" borderId="5" xfId="0" applyFont="1" applyFill="1" applyBorder="1" applyAlignment="1">
      <alignment horizontal="center" vertical="center"/>
    </xf>
    <xf numFmtId="0" fontId="1" fillId="9" borderId="6" xfId="0" applyFont="1" applyFill="1" applyBorder="1" applyAlignment="1">
      <alignment horizontal="center" vertical="center"/>
    </xf>
    <xf numFmtId="0" fontId="0" fillId="8" borderId="5" xfId="0" applyFill="1" applyBorder="1"/>
    <xf numFmtId="166" fontId="0" fillId="8" borderId="6" xfId="1" applyNumberFormat="1" applyFont="1" applyFill="1" applyBorder="1"/>
    <xf numFmtId="166" fontId="0" fillId="8" borderId="5" xfId="1" applyNumberFormat="1" applyFont="1" applyFill="1" applyBorder="1" applyAlignment="1">
      <alignment horizontal="center" vertical="center"/>
    </xf>
    <xf numFmtId="166" fontId="0" fillId="8" borderId="6" xfId="1" applyNumberFormat="1" applyFont="1" applyFill="1" applyBorder="1" applyAlignment="1">
      <alignment horizontal="center" vertical="center"/>
    </xf>
    <xf numFmtId="0" fontId="0" fillId="0" borderId="3" xfId="0" applyBorder="1"/>
    <xf numFmtId="2" fontId="0" fillId="0" borderId="2" xfId="0" applyNumberFormat="1" applyBorder="1" applyAlignment="1">
      <alignment horizontal="center" vertical="center"/>
    </xf>
    <xf numFmtId="0" fontId="6" fillId="10" borderId="7" xfId="0" applyFont="1" applyFill="1" applyBorder="1" applyAlignment="1">
      <alignment vertical="center"/>
    </xf>
    <xf numFmtId="0" fontId="0" fillId="10" borderId="8" xfId="0" applyFill="1" applyBorder="1"/>
    <xf numFmtId="0" fontId="0" fillId="10" borderId="7" xfId="0" applyFill="1" applyBorder="1"/>
    <xf numFmtId="0" fontId="0" fillId="10" borderId="9" xfId="0" applyFill="1" applyBorder="1"/>
    <xf numFmtId="167" fontId="0" fillId="10" borderId="9" xfId="0" applyNumberFormat="1" applyFill="1" applyBorder="1" applyAlignment="1">
      <alignment vertical="center"/>
    </xf>
    <xf numFmtId="165" fontId="0" fillId="0" borderId="6" xfId="0" applyNumberFormat="1" applyBorder="1"/>
    <xf numFmtId="0" fontId="0" fillId="0" borderId="16" xfId="0" applyBorder="1"/>
    <xf numFmtId="0" fontId="0" fillId="0" borderId="17" xfId="0" applyBorder="1"/>
    <xf numFmtId="165" fontId="0" fillId="0" borderId="18" xfId="0" applyNumberFormat="1" applyBorder="1"/>
    <xf numFmtId="0" fontId="0" fillId="0" borderId="19" xfId="0" applyBorder="1"/>
    <xf numFmtId="0" fontId="0" fillId="0" borderId="20" xfId="0" applyBorder="1"/>
    <xf numFmtId="165" fontId="0" fillId="0" borderId="21" xfId="0" applyNumberFormat="1" applyBorder="1"/>
    <xf numFmtId="0" fontId="0" fillId="0" borderId="22" xfId="0" applyBorder="1"/>
    <xf numFmtId="0" fontId="0" fillId="0" borderId="23" xfId="0" applyBorder="1"/>
    <xf numFmtId="165" fontId="0" fillId="0" borderId="24" xfId="0" applyNumberFormat="1" applyBorder="1"/>
    <xf numFmtId="0" fontId="6" fillId="0" borderId="2" xfId="0" applyFont="1" applyBorder="1" applyAlignment="1">
      <alignment vertical="center"/>
    </xf>
    <xf numFmtId="10" fontId="0" fillId="0" borderId="2" xfId="1" applyNumberFormat="1" applyFont="1" applyBorder="1" applyAlignment="1">
      <alignment horizontal="center" vertical="center"/>
    </xf>
    <xf numFmtId="167" fontId="0" fillId="0" borderId="0" xfId="0" applyNumberFormat="1" applyAlignment="1">
      <alignment horizontal="left"/>
    </xf>
    <xf numFmtId="166" fontId="0" fillId="0" borderId="4" xfId="1" applyNumberFormat="1" applyFont="1" applyFill="1" applyBorder="1"/>
    <xf numFmtId="0" fontId="0" fillId="0" borderId="2" xfId="0" applyBorder="1" applyAlignment="1">
      <alignment horizontal="center" vertical="center"/>
    </xf>
    <xf numFmtId="166" fontId="0" fillId="0" borderId="6" xfId="1" applyNumberFormat="1" applyFont="1" applyFill="1" applyBorder="1"/>
    <xf numFmtId="9" fontId="0" fillId="0" borderId="2" xfId="0" applyNumberFormat="1" applyBorder="1" applyAlignment="1">
      <alignment horizontal="center" vertical="center"/>
    </xf>
    <xf numFmtId="168" fontId="0" fillId="0" borderId="5" xfId="0" applyNumberFormat="1" applyBorder="1" applyAlignment="1">
      <alignment horizontal="center" vertical="center"/>
    </xf>
    <xf numFmtId="169" fontId="0" fillId="0" borderId="5" xfId="0" applyNumberFormat="1" applyBorder="1" applyAlignment="1">
      <alignment horizontal="center" vertical="center"/>
    </xf>
    <xf numFmtId="0" fontId="0" fillId="12" borderId="5" xfId="0" applyFill="1" applyBorder="1"/>
    <xf numFmtId="0" fontId="11" fillId="0" borderId="28" xfId="0" applyFont="1" applyBorder="1" applyAlignment="1">
      <alignment horizontal="center" vertical="center" wrapText="1"/>
    </xf>
    <xf numFmtId="0" fontId="11" fillId="0" borderId="31" xfId="0" applyFont="1" applyBorder="1" applyAlignment="1">
      <alignment horizontal="center" vertical="center" wrapText="1"/>
    </xf>
    <xf numFmtId="0" fontId="1" fillId="11" borderId="25" xfId="0" applyFont="1" applyFill="1" applyBorder="1" applyAlignment="1">
      <alignment horizontal="center"/>
    </xf>
    <xf numFmtId="0" fontId="12" fillId="11" borderId="26" xfId="0" applyFont="1" applyFill="1" applyBorder="1" applyAlignment="1">
      <alignment horizontal="center" vertical="center" wrapText="1"/>
    </xf>
    <xf numFmtId="0" fontId="12" fillId="11" borderId="27" xfId="0" applyFont="1" applyFill="1" applyBorder="1" applyAlignment="1">
      <alignment horizontal="center" vertical="center" wrapText="1"/>
    </xf>
    <xf numFmtId="2" fontId="11" fillId="0" borderId="32" xfId="1" applyNumberFormat="1" applyFont="1" applyBorder="1" applyAlignment="1">
      <alignment horizontal="center" vertical="center" shrinkToFit="1"/>
    </xf>
    <xf numFmtId="2" fontId="0" fillId="0" borderId="33" xfId="1" applyNumberFormat="1" applyFont="1" applyBorder="1" applyAlignment="1">
      <alignment horizontal="center" vertical="center"/>
    </xf>
    <xf numFmtId="0" fontId="0" fillId="0" borderId="0" xfId="0" applyAlignment="1">
      <alignment horizontal="left"/>
    </xf>
    <xf numFmtId="0" fontId="10" fillId="0" borderId="35" xfId="0" applyFont="1" applyBorder="1" applyAlignment="1">
      <alignment horizontal="left" vertical="top" wrapText="1"/>
    </xf>
    <xf numFmtId="0" fontId="14" fillId="0" borderId="37" xfId="0" applyFont="1" applyBorder="1" applyAlignment="1">
      <alignment horizontal="left" vertical="top" wrapText="1"/>
    </xf>
    <xf numFmtId="1" fontId="11" fillId="0" borderId="38" xfId="0" applyNumberFormat="1" applyFont="1" applyBorder="1" applyAlignment="1">
      <alignment horizontal="center" vertical="center" shrinkToFit="1"/>
    </xf>
    <xf numFmtId="0" fontId="0" fillId="0" borderId="21" xfId="0" applyBorder="1"/>
    <xf numFmtId="0" fontId="0" fillId="0" borderId="28" xfId="0" applyBorder="1"/>
    <xf numFmtId="0" fontId="0" fillId="0" borderId="29" xfId="0" applyBorder="1" applyAlignment="1">
      <alignment horizontal="center" vertical="center"/>
    </xf>
    <xf numFmtId="0" fontId="0" fillId="0" borderId="30" xfId="0" applyBorder="1"/>
    <xf numFmtId="0" fontId="0" fillId="0" borderId="28" xfId="0" applyBorder="1" applyAlignment="1">
      <alignment wrapText="1"/>
    </xf>
    <xf numFmtId="171" fontId="0" fillId="0" borderId="29" xfId="1" applyNumberFormat="1" applyFont="1" applyBorder="1" applyAlignment="1">
      <alignment horizontal="center" vertical="center"/>
    </xf>
    <xf numFmtId="171" fontId="0" fillId="0" borderId="30" xfId="1" applyNumberFormat="1" applyFont="1" applyBorder="1" applyAlignment="1">
      <alignment horizontal="center" vertical="center"/>
    </xf>
    <xf numFmtId="0" fontId="0" fillId="0" borderId="30" xfId="0" applyBorder="1" applyAlignment="1">
      <alignment horizontal="center" vertical="center"/>
    </xf>
    <xf numFmtId="0" fontId="0" fillId="0" borderId="31" xfId="0" applyBorder="1"/>
    <xf numFmtId="171" fontId="0" fillId="0" borderId="32" xfId="1" applyNumberFormat="1" applyFont="1" applyBorder="1" applyAlignment="1">
      <alignment horizontal="center" vertical="center"/>
    </xf>
    <xf numFmtId="171" fontId="0" fillId="0" borderId="33" xfId="1" applyNumberFormat="1" applyFont="1" applyBorder="1" applyAlignment="1">
      <alignment horizontal="center" vertical="center"/>
    </xf>
    <xf numFmtId="0" fontId="0" fillId="0" borderId="39" xfId="0" applyBorder="1"/>
    <xf numFmtId="0" fontId="0" fillId="0" borderId="41" xfId="0" applyBorder="1"/>
    <xf numFmtId="0" fontId="14" fillId="0" borderId="42" xfId="0" applyFont="1" applyBorder="1" applyAlignment="1">
      <alignment horizontal="left" vertical="top" wrapText="1"/>
    </xf>
    <xf numFmtId="172" fontId="11" fillId="0" borderId="43" xfId="0" applyNumberFormat="1" applyFont="1" applyBorder="1" applyAlignment="1">
      <alignment horizontal="center" vertical="center" shrinkToFit="1"/>
    </xf>
    <xf numFmtId="0" fontId="0" fillId="0" borderId="24" xfId="0" applyBorder="1"/>
    <xf numFmtId="0" fontId="16" fillId="0" borderId="34" xfId="0" applyFont="1" applyBorder="1" applyAlignment="1">
      <alignment horizontal="left" vertical="top" wrapText="1"/>
    </xf>
    <xf numFmtId="0" fontId="16" fillId="0" borderId="34" xfId="0" applyFont="1" applyBorder="1" applyAlignment="1">
      <alignment horizontal="center" vertical="top" wrapText="1"/>
    </xf>
    <xf numFmtId="0" fontId="17" fillId="0" borderId="34" xfId="0" applyFont="1" applyBorder="1" applyAlignment="1">
      <alignment horizontal="left" vertical="top" wrapText="1"/>
    </xf>
    <xf numFmtId="0" fontId="17" fillId="0" borderId="34" xfId="0" applyFont="1" applyBorder="1" applyAlignment="1">
      <alignment horizontal="center" vertical="top" wrapText="1"/>
    </xf>
    <xf numFmtId="1" fontId="15" fillId="0" borderId="34" xfId="0" applyNumberFormat="1" applyFont="1" applyBorder="1" applyAlignment="1">
      <alignment horizontal="center" vertical="top" shrinkToFit="1"/>
    </xf>
    <xf numFmtId="0" fontId="17" fillId="0" borderId="47" xfId="0" applyFont="1" applyBorder="1" applyAlignment="1">
      <alignment horizontal="left" vertical="top" wrapText="1"/>
    </xf>
    <xf numFmtId="0" fontId="17" fillId="0" borderId="50" xfId="0" applyFont="1" applyBorder="1" applyAlignment="1">
      <alignment horizontal="left" vertical="top" wrapText="1"/>
    </xf>
    <xf numFmtId="0" fontId="18" fillId="13" borderId="44" xfId="0" applyFont="1" applyFill="1" applyBorder="1" applyAlignment="1">
      <alignment horizontal="left" vertical="center" wrapText="1"/>
    </xf>
    <xf numFmtId="0" fontId="18" fillId="13" borderId="45" xfId="0" applyFont="1" applyFill="1" applyBorder="1" applyAlignment="1">
      <alignment horizontal="center" vertical="center" wrapText="1"/>
    </xf>
    <xf numFmtId="0" fontId="18" fillId="13" borderId="46" xfId="0" applyFont="1" applyFill="1" applyBorder="1" applyAlignment="1">
      <alignment horizontal="center" vertical="center" wrapText="1"/>
    </xf>
    <xf numFmtId="0" fontId="0" fillId="0" borderId="48" xfId="0" applyBorder="1" applyAlignment="1">
      <alignment horizontal="center" vertical="center"/>
    </xf>
    <xf numFmtId="0" fontId="17" fillId="0" borderId="48" xfId="0" applyFont="1" applyBorder="1" applyAlignment="1">
      <alignment horizontal="center" vertical="center" wrapText="1"/>
    </xf>
    <xf numFmtId="0" fontId="0" fillId="0" borderId="49" xfId="0" applyBorder="1" applyAlignment="1">
      <alignment horizontal="center" vertical="center"/>
    </xf>
    <xf numFmtId="1" fontId="0" fillId="0" borderId="48" xfId="0" applyNumberFormat="1" applyBorder="1" applyAlignment="1">
      <alignment horizontal="center" vertical="center"/>
    </xf>
    <xf numFmtId="0" fontId="0" fillId="0" borderId="51" xfId="0" applyBorder="1" applyAlignment="1">
      <alignment horizontal="center" vertical="center"/>
    </xf>
    <xf numFmtId="0" fontId="17" fillId="0" borderId="51" xfId="0" applyFont="1" applyBorder="1" applyAlignment="1">
      <alignment horizontal="center" vertical="center" wrapText="1"/>
    </xf>
    <xf numFmtId="1" fontId="0" fillId="0" borderId="51" xfId="0" applyNumberFormat="1" applyBorder="1" applyAlignment="1">
      <alignment horizontal="center" vertical="center"/>
    </xf>
    <xf numFmtId="0" fontId="0" fillId="0" borderId="52" xfId="0" applyBorder="1" applyAlignment="1">
      <alignment horizontal="center" vertical="center"/>
    </xf>
    <xf numFmtId="171" fontId="0" fillId="0" borderId="57" xfId="1" applyNumberFormat="1" applyFont="1" applyBorder="1" applyAlignment="1">
      <alignment horizontal="center" vertical="center"/>
    </xf>
    <xf numFmtId="0" fontId="0" fillId="0" borderId="57" xfId="0" applyBorder="1" applyAlignment="1">
      <alignment horizontal="center" vertical="center"/>
    </xf>
    <xf numFmtId="0" fontId="0" fillId="0" borderId="58" xfId="0" applyBorder="1" applyAlignment="1">
      <alignment horizontal="center" vertical="center"/>
    </xf>
    <xf numFmtId="171" fontId="0" fillId="0" borderId="60" xfId="1" applyNumberFormat="1" applyFont="1" applyBorder="1" applyAlignment="1">
      <alignment horizontal="center" vertical="center"/>
    </xf>
    <xf numFmtId="0" fontId="0" fillId="0" borderId="60" xfId="0" applyBorder="1" applyAlignment="1">
      <alignment horizontal="center" vertical="center"/>
    </xf>
    <xf numFmtId="0" fontId="0" fillId="0" borderId="61" xfId="0" applyBorder="1" applyAlignment="1">
      <alignment horizontal="center" vertical="center"/>
    </xf>
    <xf numFmtId="0" fontId="0" fillId="0" borderId="56" xfId="0" applyBorder="1" applyAlignment="1">
      <alignment horizontal="left" vertical="center"/>
    </xf>
    <xf numFmtId="0" fontId="0" fillId="0" borderId="59" xfId="0" applyBorder="1" applyAlignment="1">
      <alignment horizontal="left" vertical="center"/>
    </xf>
    <xf numFmtId="0" fontId="0" fillId="0" borderId="28" xfId="0" applyBorder="1" applyAlignment="1">
      <alignment horizontal="left" vertical="center"/>
    </xf>
    <xf numFmtId="0" fontId="0" fillId="0" borderId="31" xfId="0" applyBorder="1" applyAlignment="1">
      <alignment horizontal="left" vertical="center"/>
    </xf>
    <xf numFmtId="0" fontId="1" fillId="13" borderId="53" xfId="0" applyFont="1" applyFill="1" applyBorder="1" applyAlignment="1">
      <alignment horizontal="left" vertical="center"/>
    </xf>
    <xf numFmtId="0" fontId="1" fillId="13" borderId="54" xfId="0" applyFont="1" applyFill="1" applyBorder="1" applyAlignment="1">
      <alignment horizontal="center" vertical="center"/>
    </xf>
    <xf numFmtId="0" fontId="1" fillId="13" borderId="55" xfId="0" applyFont="1" applyFill="1" applyBorder="1" applyAlignment="1">
      <alignment horizontal="center" vertical="center"/>
    </xf>
    <xf numFmtId="0" fontId="1" fillId="13" borderId="25" xfId="0" applyFont="1" applyFill="1" applyBorder="1"/>
    <xf numFmtId="0" fontId="1" fillId="13" borderId="26" xfId="0" applyFont="1" applyFill="1" applyBorder="1" applyAlignment="1">
      <alignment horizontal="center" vertical="center"/>
    </xf>
    <xf numFmtId="0" fontId="1" fillId="13" borderId="27" xfId="0" applyFont="1" applyFill="1" applyBorder="1" applyAlignment="1">
      <alignment horizontal="center" vertical="center"/>
    </xf>
    <xf numFmtId="173" fontId="0" fillId="0" borderId="30" xfId="0" applyNumberFormat="1" applyBorder="1" applyAlignment="1">
      <alignment horizontal="center" vertical="center"/>
    </xf>
    <xf numFmtId="173" fontId="0" fillId="0" borderId="29" xfId="0" applyNumberFormat="1" applyBorder="1" applyAlignment="1">
      <alignment horizontal="center" vertical="center"/>
    </xf>
    <xf numFmtId="173" fontId="0" fillId="0" borderId="58" xfId="0" applyNumberFormat="1" applyBorder="1" applyAlignment="1">
      <alignment horizontal="center" vertical="center"/>
    </xf>
    <xf numFmtId="173" fontId="0" fillId="0" borderId="57" xfId="0" applyNumberFormat="1" applyBorder="1" applyAlignment="1">
      <alignment horizontal="center" vertical="center"/>
    </xf>
    <xf numFmtId="174" fontId="17" fillId="0" borderId="48" xfId="0" applyNumberFormat="1" applyFont="1" applyBorder="1" applyAlignment="1">
      <alignment horizontal="center" vertical="center" wrapText="1"/>
    </xf>
    <xf numFmtId="174" fontId="0" fillId="0" borderId="48" xfId="0" applyNumberFormat="1" applyBorder="1" applyAlignment="1">
      <alignment horizontal="center" vertical="center"/>
    </xf>
    <xf numFmtId="174" fontId="17" fillId="0" borderId="51" xfId="0" applyNumberFormat="1" applyFont="1" applyBorder="1" applyAlignment="1">
      <alignment horizontal="center" vertical="center" wrapText="1"/>
    </xf>
    <xf numFmtId="174" fontId="0" fillId="0" borderId="51" xfId="0" applyNumberFormat="1" applyBorder="1" applyAlignment="1">
      <alignment horizontal="center" vertical="center"/>
    </xf>
    <xf numFmtId="174" fontId="0" fillId="0" borderId="40" xfId="0" applyNumberFormat="1" applyBorder="1" applyAlignment="1">
      <alignment horizontal="center" vertical="center"/>
    </xf>
    <xf numFmtId="174" fontId="11" fillId="0" borderId="29" xfId="1" applyNumberFormat="1" applyFont="1" applyBorder="1" applyAlignment="1">
      <alignment horizontal="center" vertical="center" wrapText="1"/>
    </xf>
    <xf numFmtId="174" fontId="0" fillId="0" borderId="30" xfId="1" applyNumberFormat="1" applyFont="1" applyBorder="1" applyAlignment="1">
      <alignment horizontal="center" vertical="center"/>
    </xf>
    <xf numFmtId="170" fontId="0" fillId="0" borderId="30" xfId="1" applyNumberFormat="1" applyFont="1" applyBorder="1" applyAlignment="1">
      <alignment horizontal="center" vertical="center"/>
    </xf>
    <xf numFmtId="170" fontId="0" fillId="7" borderId="0" xfId="0" applyNumberFormat="1" applyFill="1" applyAlignment="1">
      <alignment horizontal="right" vertical="center"/>
    </xf>
    <xf numFmtId="170" fontId="0" fillId="0" borderId="0" xfId="1" applyNumberFormat="1" applyFont="1" applyAlignment="1">
      <alignment horizontal="left" vertical="center"/>
    </xf>
    <xf numFmtId="170" fontId="0" fillId="0" borderId="4" xfId="0" applyNumberFormat="1" applyBorder="1" applyAlignment="1">
      <alignment horizontal="center" vertical="center"/>
    </xf>
    <xf numFmtId="170" fontId="0" fillId="0" borderId="6" xfId="0" applyNumberFormat="1" applyBorder="1" applyAlignment="1">
      <alignment horizontal="center" vertical="center"/>
    </xf>
    <xf numFmtId="170" fontId="0" fillId="0" borderId="6" xfId="2" applyNumberFormat="1" applyFont="1" applyFill="1" applyBorder="1" applyAlignment="1">
      <alignment horizontal="center" vertical="center"/>
    </xf>
    <xf numFmtId="170" fontId="0" fillId="0" borderId="4" xfId="2" applyNumberFormat="1" applyFont="1" applyFill="1" applyBorder="1" applyAlignment="1">
      <alignment horizontal="center" vertical="center"/>
    </xf>
    <xf numFmtId="170" fontId="0" fillId="0" borderId="2" xfId="0" applyNumberFormat="1" applyBorder="1" applyAlignment="1">
      <alignment horizontal="center" vertical="center"/>
    </xf>
    <xf numFmtId="170" fontId="0" fillId="0" borderId="5" xfId="0" applyNumberFormat="1" applyBorder="1" applyAlignment="1">
      <alignment horizontal="center" vertical="center"/>
    </xf>
    <xf numFmtId="170" fontId="0" fillId="0" borderId="4" xfId="2" applyNumberFormat="1" applyFont="1" applyBorder="1" applyAlignment="1">
      <alignment horizontal="center" vertical="center"/>
    </xf>
    <xf numFmtId="170" fontId="0" fillId="0" borderId="5" xfId="1" applyNumberFormat="1" applyFont="1" applyBorder="1" applyAlignment="1">
      <alignment horizontal="center" vertical="center"/>
    </xf>
    <xf numFmtId="170" fontId="0" fillId="0" borderId="6" xfId="1" applyNumberFormat="1" applyFont="1" applyBorder="1" applyAlignment="1">
      <alignment horizontal="center" vertical="center"/>
    </xf>
    <xf numFmtId="170" fontId="0" fillId="0" borderId="5" xfId="1" applyNumberFormat="1" applyFont="1" applyBorder="1" applyAlignment="1">
      <alignment horizontal="center" vertical="center" readingOrder="1"/>
    </xf>
    <xf numFmtId="170" fontId="0" fillId="0" borderId="6" xfId="1" applyNumberFormat="1" applyFont="1" applyBorder="1" applyAlignment="1">
      <alignment horizontal="center" vertical="center" readingOrder="1"/>
    </xf>
    <xf numFmtId="170" fontId="0" fillId="0" borderId="6" xfId="2" applyNumberFormat="1" applyFont="1" applyBorder="1" applyAlignment="1">
      <alignment horizontal="center" vertical="center"/>
    </xf>
    <xf numFmtId="170" fontId="0" fillId="0" borderId="9" xfId="0" applyNumberFormat="1" applyBorder="1" applyAlignment="1">
      <alignment horizontal="center" vertical="center"/>
    </xf>
    <xf numFmtId="170" fontId="0" fillId="8" borderId="6" xfId="0" applyNumberFormat="1" applyFill="1" applyBorder="1" applyAlignment="1">
      <alignment horizontal="center" vertical="center"/>
    </xf>
    <xf numFmtId="170" fontId="0" fillId="0" borderId="4" xfId="0" applyNumberFormat="1" applyBorder="1"/>
    <xf numFmtId="170" fontId="0" fillId="0" borderId="6" xfId="0" applyNumberFormat="1" applyBorder="1"/>
    <xf numFmtId="170" fontId="0" fillId="10" borderId="9" xfId="0" applyNumberFormat="1" applyFill="1" applyBorder="1" applyAlignment="1">
      <alignment vertical="center"/>
    </xf>
    <xf numFmtId="175" fontId="0" fillId="0" borderId="10" xfId="0" applyNumberFormat="1" applyBorder="1"/>
    <xf numFmtId="175" fontId="0" fillId="0" borderId="3" xfId="0" applyNumberFormat="1" applyBorder="1"/>
    <xf numFmtId="175" fontId="0" fillId="0" borderId="11" xfId="0" applyNumberFormat="1" applyBorder="1"/>
    <xf numFmtId="175" fontId="0" fillId="0" borderId="0" xfId="0" applyNumberFormat="1"/>
    <xf numFmtId="175" fontId="0" fillId="0" borderId="15" xfId="0" applyNumberFormat="1" applyBorder="1"/>
    <xf numFmtId="175" fontId="0" fillId="0" borderId="1" xfId="0" applyNumberFormat="1" applyBorder="1"/>
    <xf numFmtId="175" fontId="0" fillId="0" borderId="11" xfId="0" applyNumberFormat="1" applyBorder="1" applyAlignment="1">
      <alignment horizontal="left" vertical="center"/>
    </xf>
    <xf numFmtId="175" fontId="0" fillId="0" borderId="0" xfId="0" applyNumberFormat="1" applyAlignment="1">
      <alignment horizontal="left" vertical="center"/>
    </xf>
    <xf numFmtId="175" fontId="0" fillId="0" borderId="13" xfId="0" applyNumberFormat="1" applyBorder="1"/>
    <xf numFmtId="175" fontId="0" fillId="0" borderId="14" xfId="0" applyNumberFormat="1" applyBorder="1"/>
    <xf numFmtId="175" fontId="0" fillId="0" borderId="12" xfId="0" applyNumberFormat="1" applyBorder="1"/>
    <xf numFmtId="175" fontId="0" fillId="0" borderId="8" xfId="0" applyNumberFormat="1" applyBorder="1"/>
    <xf numFmtId="175" fontId="0" fillId="0" borderId="0" xfId="0" applyNumberFormat="1" applyAlignment="1">
      <alignment horizontal="center"/>
    </xf>
    <xf numFmtId="0" fontId="13" fillId="0" borderId="36" xfId="0" applyFont="1" applyBorder="1" applyAlignment="1">
      <alignment horizontal="center" vertical="center" wrapText="1"/>
    </xf>
    <xf numFmtId="0" fontId="0" fillId="0" borderId="18" xfId="0" applyBorder="1" applyAlignment="1">
      <alignment horizontal="center" vertical="center"/>
    </xf>
    <xf numFmtId="175" fontId="0" fillId="0" borderId="65" xfId="0" applyNumberFormat="1" applyBorder="1"/>
    <xf numFmtId="175" fontId="0" fillId="0" borderId="65" xfId="0" applyNumberFormat="1" applyBorder="1" applyAlignment="1">
      <alignment horizontal="center"/>
    </xf>
    <xf numFmtId="175" fontId="0" fillId="0" borderId="66" xfId="0" applyNumberFormat="1" applyBorder="1"/>
    <xf numFmtId="175" fontId="0" fillId="0" borderId="67" xfId="0" applyNumberFormat="1" applyBorder="1"/>
    <xf numFmtId="175" fontId="0" fillId="0" borderId="67" xfId="0" applyNumberFormat="1" applyBorder="1" applyAlignment="1">
      <alignment horizontal="center"/>
    </xf>
    <xf numFmtId="175" fontId="0" fillId="0" borderId="68" xfId="0" applyNumberFormat="1" applyBorder="1"/>
    <xf numFmtId="0" fontId="0" fillId="0" borderId="73" xfId="0" applyBorder="1"/>
    <xf numFmtId="9" fontId="0" fillId="0" borderId="74" xfId="0" applyNumberFormat="1" applyBorder="1"/>
    <xf numFmtId="175" fontId="0" fillId="0" borderId="74" xfId="0" applyNumberFormat="1" applyBorder="1"/>
    <xf numFmtId="175" fontId="0" fillId="0" borderId="74" xfId="0" applyNumberFormat="1" applyBorder="1" applyAlignment="1">
      <alignment horizontal="center"/>
    </xf>
    <xf numFmtId="175" fontId="0" fillId="0" borderId="75" xfId="0" applyNumberFormat="1" applyBorder="1"/>
    <xf numFmtId="0" fontId="0" fillId="0" borderId="76" xfId="0" applyBorder="1"/>
    <xf numFmtId="0" fontId="0" fillId="0" borderId="77" xfId="0" applyBorder="1"/>
    <xf numFmtId="175" fontId="0" fillId="0" borderId="77" xfId="0" applyNumberFormat="1" applyBorder="1"/>
    <xf numFmtId="175" fontId="0" fillId="0" borderId="77" xfId="0" applyNumberFormat="1" applyBorder="1" applyAlignment="1">
      <alignment horizontal="center"/>
    </xf>
    <xf numFmtId="175" fontId="0" fillId="0" borderId="78" xfId="0" applyNumberFormat="1" applyBorder="1"/>
    <xf numFmtId="0" fontId="0" fillId="0" borderId="79" xfId="0" applyBorder="1"/>
    <xf numFmtId="0" fontId="0" fillId="0" borderId="80" xfId="0" applyBorder="1"/>
    <xf numFmtId="175" fontId="0" fillId="0" borderId="80" xfId="0" applyNumberFormat="1" applyBorder="1"/>
    <xf numFmtId="175" fontId="0" fillId="0" borderId="80" xfId="0" applyNumberFormat="1" applyBorder="1" applyAlignment="1">
      <alignment horizontal="center"/>
    </xf>
    <xf numFmtId="175" fontId="0" fillId="0" borderId="81" xfId="0" applyNumberFormat="1" applyBorder="1"/>
    <xf numFmtId="170" fontId="0" fillId="0" borderId="0" xfId="1" applyNumberFormat="1" applyFont="1" applyFill="1" applyAlignment="1">
      <alignment horizontal="left" vertical="center"/>
    </xf>
    <xf numFmtId="0" fontId="0" fillId="0" borderId="82" xfId="0" applyBorder="1" applyAlignment="1">
      <alignment horizontal="left" vertical="center" wrapText="1"/>
    </xf>
    <xf numFmtId="0" fontId="0" fillId="0" borderId="83" xfId="0" applyBorder="1" applyAlignment="1">
      <alignment horizontal="left" vertical="center" wrapText="1"/>
    </xf>
    <xf numFmtId="0" fontId="0" fillId="0" borderId="84" xfId="0" applyBorder="1" applyAlignment="1">
      <alignment horizontal="left" vertical="center" wrapText="1"/>
    </xf>
    <xf numFmtId="0" fontId="0" fillId="0" borderId="85" xfId="0" applyBorder="1" applyAlignment="1">
      <alignment horizontal="left" vertical="center" wrapText="1"/>
    </xf>
    <xf numFmtId="0" fontId="0" fillId="0" borderId="86" xfId="0" applyBorder="1" applyAlignment="1">
      <alignment horizontal="left" vertical="center" wrapText="1"/>
    </xf>
    <xf numFmtId="0" fontId="0" fillId="0" borderId="87" xfId="0" applyBorder="1" applyAlignment="1">
      <alignment horizontal="left" vertical="center" wrapText="1"/>
    </xf>
    <xf numFmtId="0" fontId="19" fillId="14" borderId="0" xfId="0" applyFont="1" applyFill="1" applyAlignment="1">
      <alignment horizontal="center"/>
    </xf>
    <xf numFmtId="0" fontId="0" fillId="0" borderId="69" xfId="0" applyBorder="1" applyAlignment="1">
      <alignment horizontal="center"/>
    </xf>
    <xf numFmtId="0" fontId="0" fillId="0" borderId="70" xfId="0" applyBorder="1" applyAlignment="1">
      <alignment horizontal="center"/>
    </xf>
    <xf numFmtId="0" fontId="0" fillId="0" borderId="71" xfId="0" applyBorder="1" applyAlignment="1">
      <alignment horizontal="center"/>
    </xf>
    <xf numFmtId="0" fontId="0" fillId="0" borderId="72" xfId="0" applyBorder="1" applyAlignment="1">
      <alignment horizontal="center"/>
    </xf>
    <xf numFmtId="0" fontId="4" fillId="3" borderId="0" xfId="0" applyFont="1" applyFill="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6" fillId="0" borderId="2" xfId="0" applyFont="1" applyBorder="1" applyAlignment="1">
      <alignment horizontal="left" vertical="center"/>
    </xf>
    <xf numFmtId="0" fontId="6" fillId="0" borderId="3"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horizontal="left" vertical="center"/>
    </xf>
    <xf numFmtId="0" fontId="6" fillId="0" borderId="6" xfId="0" applyFont="1" applyBorder="1" applyAlignment="1">
      <alignment horizontal="left" vertical="center"/>
    </xf>
    <xf numFmtId="0" fontId="6" fillId="0" borderId="11" xfId="0" applyFont="1" applyBorder="1" applyAlignment="1">
      <alignment horizontal="left" vertical="center"/>
    </xf>
    <xf numFmtId="0" fontId="6" fillId="0" borderId="12" xfId="0" applyFont="1" applyBorder="1" applyAlignment="1">
      <alignment horizontal="left" vertical="center"/>
    </xf>
    <xf numFmtId="0" fontId="0" fillId="0" borderId="0" xfId="0" applyAlignment="1">
      <alignment horizontal="left" vertical="center" wrapText="1"/>
    </xf>
    <xf numFmtId="0" fontId="11" fillId="0" borderId="0" xfId="0" applyFont="1" applyAlignment="1">
      <alignment horizontal="left" vertical="center" wrapText="1"/>
    </xf>
    <xf numFmtId="0" fontId="19" fillId="14" borderId="62" xfId="0" applyFont="1" applyFill="1" applyBorder="1" applyAlignment="1">
      <alignment horizontal="center"/>
    </xf>
    <xf numFmtId="0" fontId="19" fillId="14" borderId="63" xfId="0" applyFont="1" applyFill="1" applyBorder="1" applyAlignment="1">
      <alignment horizontal="center"/>
    </xf>
    <xf numFmtId="0" fontId="19" fillId="14" borderId="64" xfId="0" applyFont="1" applyFill="1" applyBorder="1" applyAlignment="1">
      <alignment horizontal="center"/>
    </xf>
    <xf numFmtId="0" fontId="17" fillId="0" borderId="34" xfId="0" applyFont="1" applyBorder="1" applyAlignment="1">
      <alignment horizontal="left" vertical="center" wrapText="1"/>
    </xf>
    <xf numFmtId="0" fontId="17" fillId="0" borderId="34" xfId="0" applyFont="1" applyBorder="1" applyAlignment="1">
      <alignment horizontal="center" vertical="center" wrapText="1"/>
    </xf>
    <xf numFmtId="1" fontId="15" fillId="0" borderId="34" xfId="0" applyNumberFormat="1" applyFont="1" applyBorder="1" applyAlignment="1">
      <alignment horizontal="center" vertical="center" shrinkToFit="1"/>
    </xf>
  </cellXfs>
  <cellStyles count="3">
    <cellStyle name="Comma" xfId="1" builtinId="3"/>
    <cellStyle name="Currency" xfId="2" builtinId="4"/>
    <cellStyle name="Normal" xfId="0" builtinId="0"/>
  </cellStyles>
  <dxfs count="0"/>
  <tableStyles count="0" defaultTableStyle="TableStyleMedium2" defaultPivotStyle="PivotStyleMedium9"/>
  <colors>
    <mruColors>
      <color rgb="FF6359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9</xdr:col>
      <xdr:colOff>50800</xdr:colOff>
      <xdr:row>0</xdr:row>
      <xdr:rowOff>0</xdr:rowOff>
    </xdr:from>
    <xdr:to>
      <xdr:col>20</xdr:col>
      <xdr:colOff>419100</xdr:colOff>
      <xdr:row>32</xdr:row>
      <xdr:rowOff>7825</xdr:rowOff>
    </xdr:to>
    <xdr:pic>
      <xdr:nvPicPr>
        <xdr:cNvPr id="6" name="Picture 5">
          <a:extLst>
            <a:ext uri="{FF2B5EF4-FFF2-40B4-BE49-F238E27FC236}">
              <a16:creationId xmlns:a16="http://schemas.microsoft.com/office/drawing/2014/main" id="{0322E11B-123D-161E-4C81-241606B02F19}"/>
            </a:ext>
          </a:extLst>
        </xdr:cNvPr>
        <xdr:cNvPicPr>
          <a:picLocks noChangeAspect="1"/>
        </xdr:cNvPicPr>
      </xdr:nvPicPr>
      <xdr:blipFill>
        <a:blip xmlns:r="http://schemas.openxmlformats.org/officeDocument/2006/relationships" r:embed="rId1"/>
        <a:stretch>
          <a:fillRect/>
        </a:stretch>
      </xdr:blipFill>
      <xdr:spPr>
        <a:xfrm>
          <a:off x="11709400" y="0"/>
          <a:ext cx="7772400" cy="69547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155115</xdr:colOff>
      <xdr:row>0</xdr:row>
      <xdr:rowOff>0</xdr:rowOff>
    </xdr:from>
    <xdr:to>
      <xdr:col>15</xdr:col>
      <xdr:colOff>569271</xdr:colOff>
      <xdr:row>34</xdr:row>
      <xdr:rowOff>81214</xdr:rowOff>
    </xdr:to>
    <xdr:pic>
      <xdr:nvPicPr>
        <xdr:cNvPr id="7" name="Picture 6">
          <a:extLst>
            <a:ext uri="{FF2B5EF4-FFF2-40B4-BE49-F238E27FC236}">
              <a16:creationId xmlns:a16="http://schemas.microsoft.com/office/drawing/2014/main" id="{99F309CD-2728-A128-2C77-521AB4E420B9}"/>
            </a:ext>
          </a:extLst>
        </xdr:cNvPr>
        <xdr:cNvPicPr>
          <a:picLocks noChangeAspect="1"/>
        </xdr:cNvPicPr>
      </xdr:nvPicPr>
      <xdr:blipFill>
        <a:blip xmlns:r="http://schemas.openxmlformats.org/officeDocument/2006/relationships" r:embed="rId1"/>
        <a:stretch>
          <a:fillRect/>
        </a:stretch>
      </xdr:blipFill>
      <xdr:spPr>
        <a:xfrm>
          <a:off x="5797405" y="0"/>
          <a:ext cx="7772400" cy="69547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104588</xdr:colOff>
      <xdr:row>0</xdr:row>
      <xdr:rowOff>0</xdr:rowOff>
    </xdr:from>
    <xdr:to>
      <xdr:col>24</xdr:col>
      <xdr:colOff>481106</xdr:colOff>
      <xdr:row>31</xdr:row>
      <xdr:rowOff>81784</xdr:rowOff>
    </xdr:to>
    <xdr:pic>
      <xdr:nvPicPr>
        <xdr:cNvPr id="2" name="Picture 1">
          <a:extLst>
            <a:ext uri="{FF2B5EF4-FFF2-40B4-BE49-F238E27FC236}">
              <a16:creationId xmlns:a16="http://schemas.microsoft.com/office/drawing/2014/main" id="{D5B2D4ED-E6F2-D65F-2B5E-73AF2375FC1F}"/>
            </a:ext>
          </a:extLst>
        </xdr:cNvPr>
        <xdr:cNvPicPr>
          <a:picLocks noChangeAspect="1"/>
        </xdr:cNvPicPr>
      </xdr:nvPicPr>
      <xdr:blipFill>
        <a:blip xmlns:r="http://schemas.openxmlformats.org/officeDocument/2006/relationships" r:embed="rId1"/>
        <a:stretch>
          <a:fillRect/>
        </a:stretch>
      </xdr:blipFill>
      <xdr:spPr>
        <a:xfrm>
          <a:off x="11250706" y="0"/>
          <a:ext cx="7772400" cy="69547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76200</xdr:colOff>
      <xdr:row>0</xdr:row>
      <xdr:rowOff>0</xdr:rowOff>
    </xdr:from>
    <xdr:to>
      <xdr:col>17</xdr:col>
      <xdr:colOff>254000</xdr:colOff>
      <xdr:row>25</xdr:row>
      <xdr:rowOff>183511</xdr:rowOff>
    </xdr:to>
    <xdr:pic>
      <xdr:nvPicPr>
        <xdr:cNvPr id="2" name="Picture 1">
          <a:extLst>
            <a:ext uri="{FF2B5EF4-FFF2-40B4-BE49-F238E27FC236}">
              <a16:creationId xmlns:a16="http://schemas.microsoft.com/office/drawing/2014/main" id="{C7E64812-4313-7EF8-F148-5F227A54EF0D}"/>
            </a:ext>
          </a:extLst>
        </xdr:cNvPr>
        <xdr:cNvPicPr>
          <a:picLocks noChangeAspect="1"/>
        </xdr:cNvPicPr>
      </xdr:nvPicPr>
      <xdr:blipFill>
        <a:blip xmlns:r="http://schemas.openxmlformats.org/officeDocument/2006/relationships" r:embed="rId1"/>
        <a:stretch>
          <a:fillRect/>
        </a:stretch>
      </xdr:blipFill>
      <xdr:spPr>
        <a:xfrm>
          <a:off x="6210300" y="0"/>
          <a:ext cx="7772400" cy="603821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76199</xdr:colOff>
      <xdr:row>0</xdr:row>
      <xdr:rowOff>42333</xdr:rowOff>
    </xdr:from>
    <xdr:to>
      <xdr:col>17</xdr:col>
      <xdr:colOff>397932</xdr:colOff>
      <xdr:row>30</xdr:row>
      <xdr:rowOff>69211</xdr:rowOff>
    </xdr:to>
    <xdr:pic>
      <xdr:nvPicPr>
        <xdr:cNvPr id="2" name="Picture 1">
          <a:extLst>
            <a:ext uri="{FF2B5EF4-FFF2-40B4-BE49-F238E27FC236}">
              <a16:creationId xmlns:a16="http://schemas.microsoft.com/office/drawing/2014/main" id="{B221C386-3AC9-BC5C-ED47-B2070E7B5FE1}"/>
            </a:ext>
          </a:extLst>
        </xdr:cNvPr>
        <xdr:cNvPicPr>
          <a:picLocks noChangeAspect="1"/>
        </xdr:cNvPicPr>
      </xdr:nvPicPr>
      <xdr:blipFill>
        <a:blip xmlns:r="http://schemas.openxmlformats.org/officeDocument/2006/relationships" r:embed="rId1"/>
        <a:stretch>
          <a:fillRect/>
        </a:stretch>
      </xdr:blipFill>
      <xdr:spPr>
        <a:xfrm>
          <a:off x="5714999" y="42333"/>
          <a:ext cx="7772400" cy="603821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14</xdr:row>
      <xdr:rowOff>50800</xdr:rowOff>
    </xdr:from>
    <xdr:to>
      <xdr:col>9</xdr:col>
      <xdr:colOff>182880</xdr:colOff>
      <xdr:row>45</xdr:row>
      <xdr:rowOff>104771</xdr:rowOff>
    </xdr:to>
    <xdr:pic>
      <xdr:nvPicPr>
        <xdr:cNvPr id="2" name="Picture 1">
          <a:extLst>
            <a:ext uri="{FF2B5EF4-FFF2-40B4-BE49-F238E27FC236}">
              <a16:creationId xmlns:a16="http://schemas.microsoft.com/office/drawing/2014/main" id="{4A74A60A-F9CB-23CB-FB22-E8D6B8BD4D53}"/>
            </a:ext>
          </a:extLst>
        </xdr:cNvPr>
        <xdr:cNvPicPr>
          <a:picLocks noChangeAspect="1"/>
        </xdr:cNvPicPr>
      </xdr:nvPicPr>
      <xdr:blipFill>
        <a:blip xmlns:r="http://schemas.openxmlformats.org/officeDocument/2006/relationships" r:embed="rId1"/>
        <a:stretch>
          <a:fillRect/>
        </a:stretch>
      </xdr:blipFill>
      <xdr:spPr>
        <a:xfrm>
          <a:off x="0" y="3220720"/>
          <a:ext cx="7772400" cy="603821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47744</xdr:colOff>
      <xdr:row>0</xdr:row>
      <xdr:rowOff>0</xdr:rowOff>
    </xdr:from>
    <xdr:to>
      <xdr:col>14</xdr:col>
      <xdr:colOff>496160</xdr:colOff>
      <xdr:row>27</xdr:row>
      <xdr:rowOff>117910</xdr:rowOff>
    </xdr:to>
    <xdr:pic>
      <xdr:nvPicPr>
        <xdr:cNvPr id="7" name="Picture 6">
          <a:extLst>
            <a:ext uri="{FF2B5EF4-FFF2-40B4-BE49-F238E27FC236}">
              <a16:creationId xmlns:a16="http://schemas.microsoft.com/office/drawing/2014/main" id="{EC221D13-6D0C-71A3-018E-5762B8391D11}"/>
            </a:ext>
          </a:extLst>
        </xdr:cNvPr>
        <xdr:cNvPicPr>
          <a:picLocks noChangeAspect="1"/>
        </xdr:cNvPicPr>
      </xdr:nvPicPr>
      <xdr:blipFill>
        <a:blip xmlns:r="http://schemas.openxmlformats.org/officeDocument/2006/relationships" r:embed="rId1"/>
        <a:stretch>
          <a:fillRect/>
        </a:stretch>
      </xdr:blipFill>
      <xdr:spPr>
        <a:xfrm>
          <a:off x="7629549" y="0"/>
          <a:ext cx="7772400" cy="6038211"/>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A15" zoomScaleNormal="100" workbookViewId="0">
      <selection activeCell="H27" sqref="H27"/>
    </sheetView>
  </sheetViews>
  <sheetFormatPr baseColWidth="10" defaultColWidth="8.83203125" defaultRowHeight="15"/>
  <cols>
    <col min="1" max="1" width="34.33203125" customWidth="1"/>
    <col min="2" max="2" width="5" customWidth="1"/>
    <col min="3" max="6" width="23.5" customWidth="1"/>
    <col min="7" max="7" width="17.33203125" customWidth="1"/>
  </cols>
  <sheetData>
    <row r="1" spans="1:6" ht="19">
      <c r="A1" s="218" t="s">
        <v>109</v>
      </c>
      <c r="B1" s="218"/>
      <c r="C1" s="218"/>
      <c r="D1" s="218"/>
      <c r="E1" s="218"/>
      <c r="F1" s="218"/>
    </row>
    <row r="2" spans="1:6">
      <c r="F2" s="13" t="s">
        <v>17</v>
      </c>
    </row>
    <row r="3" spans="1:6" ht="16">
      <c r="A3" s="1" t="s">
        <v>0</v>
      </c>
      <c r="F3" s="15" t="s">
        <v>18</v>
      </c>
    </row>
    <row r="4" spans="1:6" ht="37.5" customHeight="1" thickBot="1">
      <c r="A4" s="26" t="s">
        <v>25</v>
      </c>
      <c r="B4" s="14"/>
      <c r="C4" s="24" t="s">
        <v>13</v>
      </c>
      <c r="D4" s="24" t="s">
        <v>22</v>
      </c>
      <c r="E4" s="25" t="s">
        <v>23</v>
      </c>
      <c r="F4" s="24" t="s">
        <v>24</v>
      </c>
    </row>
    <row r="5" spans="1:6">
      <c r="A5" s="2" t="s">
        <v>1</v>
      </c>
      <c r="B5" s="22"/>
      <c r="C5" s="175">
        <v>400000</v>
      </c>
      <c r="D5" s="176">
        <f>C5*1.15</f>
        <v>459999.99999999994</v>
      </c>
      <c r="E5" s="175">
        <f>D5</f>
        <v>459999.99999999994</v>
      </c>
      <c r="F5" s="175">
        <f>C5*1.3</f>
        <v>520000</v>
      </c>
    </row>
    <row r="6" spans="1:6">
      <c r="A6" s="18" t="s">
        <v>2</v>
      </c>
      <c r="B6" s="4"/>
      <c r="C6" s="177">
        <v>-200000</v>
      </c>
      <c r="D6" s="178">
        <f>C6*1.15</f>
        <v>-229999.99999999997</v>
      </c>
      <c r="E6" s="177">
        <f t="shared" ref="E6:E15" si="0">D6</f>
        <v>-229999.99999999997</v>
      </c>
      <c r="F6" s="177">
        <f t="shared" ref="F6" si="1">C6*1.3</f>
        <v>-260000</v>
      </c>
    </row>
    <row r="7" spans="1:6">
      <c r="A7" s="3" t="s">
        <v>3</v>
      </c>
      <c r="B7" s="4"/>
      <c r="C7" s="179">
        <f>C5+C6</f>
        <v>200000</v>
      </c>
      <c r="D7" s="180">
        <f>D5+D6</f>
        <v>229999.99999999997</v>
      </c>
      <c r="E7" s="179">
        <f t="shared" ref="E7:F7" si="2">E5+E6</f>
        <v>229999.99999999997</v>
      </c>
      <c r="F7" s="179">
        <f t="shared" si="2"/>
        <v>260000</v>
      </c>
    </row>
    <row r="8" spans="1:6">
      <c r="A8" s="3" t="s">
        <v>4</v>
      </c>
      <c r="B8" s="4"/>
      <c r="C8" s="177"/>
      <c r="D8" s="178"/>
      <c r="E8" s="177"/>
      <c r="F8" s="177"/>
    </row>
    <row r="9" spans="1:6">
      <c r="A9" s="16" t="s">
        <v>5</v>
      </c>
      <c r="B9" s="4"/>
      <c r="C9" s="181">
        <v>128000</v>
      </c>
      <c r="D9" s="182">
        <v>128000</v>
      </c>
      <c r="E9" s="181">
        <f>D9*98%</f>
        <v>125440</v>
      </c>
      <c r="F9" s="181">
        <v>128001</v>
      </c>
    </row>
    <row r="10" spans="1:6">
      <c r="A10" s="18" t="s">
        <v>6</v>
      </c>
      <c r="B10" s="4"/>
      <c r="C10" s="181">
        <f>C5*11%</f>
        <v>44000</v>
      </c>
      <c r="D10" s="182">
        <f>C10*1.15</f>
        <v>50599.999999999993</v>
      </c>
      <c r="E10" s="181">
        <f>E5*10%</f>
        <v>46000</v>
      </c>
      <c r="F10" s="181">
        <f>C10*1.3</f>
        <v>57200</v>
      </c>
    </row>
    <row r="11" spans="1:6" ht="21" customHeight="1">
      <c r="A11" s="17" t="s">
        <v>7</v>
      </c>
      <c r="B11" s="4"/>
      <c r="C11" s="181">
        <v>12000</v>
      </c>
      <c r="D11" s="182">
        <v>12000</v>
      </c>
      <c r="E11" s="181">
        <f t="shared" si="0"/>
        <v>12000</v>
      </c>
      <c r="F11" s="181">
        <v>12000</v>
      </c>
    </row>
    <row r="12" spans="1:6" ht="17">
      <c r="A12" s="17" t="s">
        <v>8</v>
      </c>
      <c r="B12" s="4"/>
      <c r="C12" s="181">
        <v>38400</v>
      </c>
      <c r="D12" s="182">
        <v>38400</v>
      </c>
      <c r="E12" s="181">
        <f t="shared" si="0"/>
        <v>38400</v>
      </c>
      <c r="F12" s="181">
        <v>38400</v>
      </c>
    </row>
    <row r="13" spans="1:6" ht="17">
      <c r="A13" s="19" t="s">
        <v>10</v>
      </c>
      <c r="B13" s="4"/>
      <c r="C13" s="181">
        <v>28000</v>
      </c>
      <c r="D13" s="182">
        <f>C13*1.15</f>
        <v>32199.999999999996</v>
      </c>
      <c r="E13" s="181">
        <f t="shared" si="0"/>
        <v>32199.999999999996</v>
      </c>
      <c r="F13" s="181">
        <f>C13*1.3</f>
        <v>36400</v>
      </c>
    </row>
    <row r="14" spans="1:6" ht="17">
      <c r="A14" s="17" t="s">
        <v>11</v>
      </c>
      <c r="B14" s="4"/>
      <c r="C14" s="181">
        <v>4000</v>
      </c>
      <c r="D14" s="182">
        <v>4000</v>
      </c>
      <c r="E14" s="181">
        <f t="shared" si="0"/>
        <v>4000</v>
      </c>
      <c r="F14" s="181">
        <v>4000</v>
      </c>
    </row>
    <row r="15" spans="1:6" ht="17">
      <c r="A15" s="17" t="s">
        <v>14</v>
      </c>
      <c r="B15" s="4"/>
      <c r="C15" s="181">
        <v>0</v>
      </c>
      <c r="D15" s="182">
        <v>12000</v>
      </c>
      <c r="E15" s="181">
        <f t="shared" si="0"/>
        <v>12000</v>
      </c>
      <c r="F15" s="181">
        <f>D15*2</f>
        <v>24000</v>
      </c>
    </row>
    <row r="16" spans="1:6" ht="17">
      <c r="A16" s="5" t="s">
        <v>21</v>
      </c>
      <c r="B16" s="23"/>
      <c r="C16" s="177">
        <f>-SUM(C9:C14)</f>
        <v>-254400</v>
      </c>
      <c r="D16" s="178">
        <f>-SUM(D9:D15)</f>
        <v>-277200</v>
      </c>
      <c r="E16" s="177">
        <f>-SUM(E9:E15)</f>
        <v>-270040</v>
      </c>
      <c r="F16" s="177">
        <f>-SUM(F9:F15)</f>
        <v>-300001</v>
      </c>
    </row>
    <row r="17" spans="1:6" ht="18" thickBot="1">
      <c r="A17" s="5" t="s">
        <v>9</v>
      </c>
      <c r="B17" s="4"/>
      <c r="C17" s="183">
        <f>C7+C16</f>
        <v>-54400</v>
      </c>
      <c r="D17" s="184">
        <f>D7+D16</f>
        <v>-47200.000000000029</v>
      </c>
      <c r="E17" s="183">
        <f>E7+E16</f>
        <v>-40040.000000000029</v>
      </c>
      <c r="F17" s="183">
        <f>F7+F16</f>
        <v>-40001</v>
      </c>
    </row>
    <row r="18" spans="1:6" ht="17" thickTop="1" thickBot="1">
      <c r="A18" s="6"/>
      <c r="B18" s="7"/>
      <c r="C18" s="185"/>
      <c r="D18" s="186"/>
      <c r="E18" s="185"/>
      <c r="F18" s="185"/>
    </row>
    <row r="19" spans="1:6" ht="16" thickBot="1">
      <c r="C19" s="178"/>
      <c r="D19" s="178"/>
      <c r="E19" s="178"/>
      <c r="F19" s="178"/>
    </row>
    <row r="20" spans="1:6">
      <c r="A20" s="219" t="s">
        <v>19</v>
      </c>
      <c r="B20" s="220"/>
      <c r="C20" s="190">
        <f>-C6+C10+C13</f>
        <v>272000</v>
      </c>
      <c r="D20" s="190">
        <f>-D6+D10+D13</f>
        <v>312799.99999999994</v>
      </c>
      <c r="E20" s="191">
        <f>-E6+E10+E13</f>
        <v>308200</v>
      </c>
      <c r="F20" s="192">
        <f>-F6+F10+F13</f>
        <v>353600</v>
      </c>
    </row>
    <row r="21" spans="1:6" ht="16" thickBot="1">
      <c r="A21" s="221" t="s">
        <v>20</v>
      </c>
      <c r="B21" s="222"/>
      <c r="C21" s="193">
        <f>C9+C11+C12+C14+C15</f>
        <v>182400</v>
      </c>
      <c r="D21" s="193">
        <f>D9+D11+D12+D14+D15</f>
        <v>194400</v>
      </c>
      <c r="E21" s="194">
        <f>E9+E11+E12+E14+E15</f>
        <v>191840</v>
      </c>
      <c r="F21" s="195">
        <f>F9+F11+F12+F14+F15</f>
        <v>206401</v>
      </c>
    </row>
    <row r="22" spans="1:6" ht="16" thickBot="1">
      <c r="C22" s="178"/>
      <c r="D22" s="178"/>
      <c r="E22" s="187"/>
      <c r="F22" s="178"/>
    </row>
    <row r="23" spans="1:6">
      <c r="A23" s="196" t="s">
        <v>12</v>
      </c>
      <c r="B23" s="197">
        <f>C23/C5</f>
        <v>0.32</v>
      </c>
      <c r="C23" s="198">
        <f>C5+C6-C10-C13</f>
        <v>128000</v>
      </c>
      <c r="D23" s="198">
        <f>D5+D6-D10-D13</f>
        <v>147199.99999999997</v>
      </c>
      <c r="E23" s="199">
        <f>E5+E6-E10-E13</f>
        <v>151799.99999999997</v>
      </c>
      <c r="F23" s="200">
        <f>F5+F6-F10-F13</f>
        <v>166400</v>
      </c>
    </row>
    <row r="24" spans="1:6">
      <c r="A24" s="201" t="s">
        <v>16</v>
      </c>
      <c r="B24" s="202"/>
      <c r="C24" s="203">
        <f>(C9+C11+C12+C14+C15)/$B$23</f>
        <v>570000</v>
      </c>
      <c r="D24" s="203">
        <f>(D9+D11+D12+D14+D15)/$B$23</f>
        <v>607500</v>
      </c>
      <c r="E24" s="204">
        <f>(E9+E11+E12+E14+E15)/$B$23</f>
        <v>599500</v>
      </c>
      <c r="F24" s="205">
        <f>(F9+F11+F12+F14+F15)/$B$23</f>
        <v>645003.125</v>
      </c>
    </row>
    <row r="25" spans="1:6" ht="16" thickBot="1">
      <c r="A25" s="206" t="s">
        <v>15</v>
      </c>
      <c r="B25" s="207"/>
      <c r="C25" s="208">
        <f>C5-C24</f>
        <v>-170000</v>
      </c>
      <c r="D25" s="208">
        <f>D5-D24</f>
        <v>-147500.00000000006</v>
      </c>
      <c r="E25" s="209">
        <f>E5-E24</f>
        <v>-139500.00000000006</v>
      </c>
      <c r="F25" s="210">
        <f>F5-F24</f>
        <v>-125003.125</v>
      </c>
    </row>
    <row r="27" spans="1:6" ht="16" thickBot="1"/>
    <row r="28" spans="1:6" ht="48" customHeight="1">
      <c r="A28" s="212" t="s">
        <v>56</v>
      </c>
      <c r="B28" s="213"/>
      <c r="C28" s="213"/>
      <c r="D28" s="213"/>
      <c r="E28" s="213"/>
      <c r="F28" s="214"/>
    </row>
    <row r="29" spans="1:6" ht="48" customHeight="1" thickBot="1">
      <c r="A29" s="215"/>
      <c r="B29" s="216"/>
      <c r="C29" s="216"/>
      <c r="D29" s="216"/>
      <c r="E29" s="216"/>
      <c r="F29" s="217"/>
    </row>
  </sheetData>
  <mergeCells count="4">
    <mergeCell ref="A28:F29"/>
    <mergeCell ref="A1:F1"/>
    <mergeCell ref="A20:B20"/>
    <mergeCell ref="A21:B21"/>
  </mergeCells>
  <pageMargins left="0.7" right="0.7" top="0.75" bottom="0.75" header="0.3" footer="0.3"/>
  <pageSetup scale="92" orientation="landscape" cellComments="asDisplayed"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28"/>
  <sheetViews>
    <sheetView showGridLines="0" topLeftCell="C1" zoomScaleNormal="100" zoomScaleSheetLayoutView="67" workbookViewId="0">
      <selection activeCell="H33" sqref="H33"/>
    </sheetView>
  </sheetViews>
  <sheetFormatPr baseColWidth="10" defaultColWidth="8.83203125" defaultRowHeight="15"/>
  <cols>
    <col min="1" max="1" width="3.5" customWidth="1"/>
    <col min="2" max="2" width="17" bestFit="1" customWidth="1"/>
    <col min="3" max="3" width="11.5" bestFit="1" customWidth="1"/>
    <col min="4" max="7" width="20.5" customWidth="1"/>
    <col min="8" max="9" width="19.5" customWidth="1"/>
  </cols>
  <sheetData>
    <row r="1" spans="2:9" ht="19">
      <c r="B1" s="218" t="s">
        <v>111</v>
      </c>
      <c r="C1" s="218"/>
      <c r="D1" s="218"/>
      <c r="E1" s="218"/>
      <c r="F1" s="218"/>
      <c r="G1" s="218"/>
      <c r="H1" s="218"/>
      <c r="I1" s="218"/>
    </row>
    <row r="2" spans="2:9">
      <c r="B2" s="13" t="s">
        <v>17</v>
      </c>
      <c r="D2" s="28" t="s">
        <v>34</v>
      </c>
      <c r="E2" s="43">
        <v>24</v>
      </c>
      <c r="F2" s="28" t="s">
        <v>34</v>
      </c>
      <c r="G2" s="43">
        <v>19</v>
      </c>
      <c r="H2" s="28" t="s">
        <v>34</v>
      </c>
      <c r="I2" s="43">
        <f>H20</f>
        <v>45</v>
      </c>
    </row>
    <row r="3" spans="2:9">
      <c r="B3" s="15" t="s">
        <v>18</v>
      </c>
      <c r="D3" s="28" t="s">
        <v>35</v>
      </c>
      <c r="E3" s="157">
        <v>13500</v>
      </c>
      <c r="F3" s="156" t="s">
        <v>35</v>
      </c>
      <c r="G3" s="157">
        <v>15000</v>
      </c>
      <c r="H3" s="156" t="s">
        <v>35</v>
      </c>
      <c r="I3" s="157">
        <v>15000</v>
      </c>
    </row>
    <row r="4" spans="2:9">
      <c r="D4" s="28" t="s">
        <v>38</v>
      </c>
      <c r="E4" s="157">
        <v>6875</v>
      </c>
      <c r="F4" s="156" t="s">
        <v>38</v>
      </c>
      <c r="G4" s="157">
        <f>E4</f>
        <v>6875</v>
      </c>
      <c r="H4" s="156" t="s">
        <v>38</v>
      </c>
      <c r="I4" s="157">
        <f>G4+1000</f>
        <v>7875</v>
      </c>
    </row>
    <row r="5" spans="2:9">
      <c r="D5" s="28"/>
      <c r="E5" s="27"/>
      <c r="F5" s="28"/>
      <c r="G5" s="27"/>
    </row>
    <row r="6" spans="2:9" ht="33" customHeight="1" thickBot="1">
      <c r="B6" s="223" t="s">
        <v>25</v>
      </c>
      <c r="C6" s="223"/>
      <c r="D6" s="223" t="s">
        <v>39</v>
      </c>
      <c r="E6" s="223"/>
      <c r="F6" s="223" t="s">
        <v>108</v>
      </c>
      <c r="G6" s="223"/>
      <c r="H6" s="223" t="s">
        <v>107</v>
      </c>
      <c r="I6" s="223"/>
    </row>
    <row r="7" spans="2:9">
      <c r="B7" s="2" t="s">
        <v>28</v>
      </c>
      <c r="C7" s="40"/>
      <c r="D7" s="162"/>
      <c r="E7" s="164">
        <f>13500*24</f>
        <v>324000</v>
      </c>
      <c r="F7" s="162"/>
      <c r="G7" s="158">
        <f>G3*G2</f>
        <v>285000</v>
      </c>
      <c r="H7" s="162"/>
      <c r="I7" s="158">
        <f>I3*I2</f>
        <v>675000</v>
      </c>
    </row>
    <row r="8" spans="2:9">
      <c r="B8" s="3" t="s">
        <v>29</v>
      </c>
      <c r="C8" s="41">
        <v>275000</v>
      </c>
      <c r="D8" s="165"/>
      <c r="E8" s="166"/>
      <c r="F8" s="163"/>
      <c r="G8" s="159"/>
      <c r="H8" s="163"/>
      <c r="I8" s="159"/>
    </row>
    <row r="9" spans="2:9">
      <c r="B9" s="3"/>
      <c r="C9" s="41"/>
      <c r="D9" s="165"/>
      <c r="E9" s="166"/>
      <c r="F9" s="163"/>
      <c r="G9" s="159"/>
      <c r="H9" s="163"/>
      <c r="I9" s="159"/>
    </row>
    <row r="10" spans="2:9">
      <c r="B10" s="42" t="s">
        <v>30</v>
      </c>
      <c r="C10" s="41"/>
      <c r="D10" s="167">
        <f>5000*24</f>
        <v>120000</v>
      </c>
      <c r="E10" s="168"/>
      <c r="F10" s="163">
        <f>G2*5000</f>
        <v>95000</v>
      </c>
      <c r="G10" s="159"/>
      <c r="H10" s="163">
        <f>I2*6000</f>
        <v>270000</v>
      </c>
      <c r="I10" s="159"/>
    </row>
    <row r="11" spans="2:9">
      <c r="B11" s="42" t="s">
        <v>31</v>
      </c>
      <c r="C11" s="41"/>
      <c r="D11" s="167">
        <f>1875*24</f>
        <v>45000</v>
      </c>
      <c r="E11" s="168"/>
      <c r="F11" s="163">
        <f>G2*1875</f>
        <v>35625</v>
      </c>
      <c r="G11" s="159"/>
      <c r="H11" s="163">
        <f>I2*1875</f>
        <v>84375</v>
      </c>
      <c r="I11" s="159"/>
    </row>
    <row r="12" spans="2:9">
      <c r="B12" s="3" t="s">
        <v>26</v>
      </c>
      <c r="C12" s="41"/>
      <c r="D12" s="163"/>
      <c r="E12" s="169">
        <f>C8*60%</f>
        <v>165000</v>
      </c>
      <c r="F12" s="163"/>
      <c r="G12" s="159">
        <f>SUM(F10:F11)</f>
        <v>130625</v>
      </c>
      <c r="H12" s="163"/>
      <c r="I12" s="159">
        <f>SUM(H10:H11)</f>
        <v>354375</v>
      </c>
    </row>
    <row r="13" spans="2:9">
      <c r="B13" s="16" t="s">
        <v>27</v>
      </c>
      <c r="C13" s="41"/>
      <c r="D13" s="163"/>
      <c r="E13" s="169">
        <f>C8*40%</f>
        <v>110000</v>
      </c>
      <c r="F13" s="163"/>
      <c r="G13" s="159">
        <f>E13*90%</f>
        <v>99000</v>
      </c>
      <c r="H13" s="163"/>
      <c r="I13" s="159">
        <f>E13*2</f>
        <v>220000</v>
      </c>
    </row>
    <row r="14" spans="2:9">
      <c r="B14" s="3" t="s">
        <v>32</v>
      </c>
      <c r="C14" s="41"/>
      <c r="D14" s="163"/>
      <c r="E14" s="169">
        <f>E7-E12-E13</f>
        <v>49000</v>
      </c>
      <c r="F14" s="163"/>
      <c r="G14" s="159">
        <f>E14</f>
        <v>49000</v>
      </c>
      <c r="H14" s="163"/>
      <c r="I14" s="159">
        <f>E14*2</f>
        <v>98000</v>
      </c>
    </row>
    <row r="15" spans="2:9">
      <c r="B15" s="3"/>
      <c r="C15" s="41"/>
      <c r="D15" s="37"/>
      <c r="E15" s="38"/>
      <c r="F15" s="30"/>
      <c r="G15" s="31"/>
      <c r="H15" s="30"/>
      <c r="I15" s="31"/>
    </row>
    <row r="16" spans="2:9" ht="5.25" customHeight="1">
      <c r="B16" s="52"/>
      <c r="C16" s="53"/>
      <c r="D16" s="54"/>
      <c r="E16" s="55"/>
      <c r="F16" s="48"/>
      <c r="G16" s="49"/>
      <c r="H16" s="48"/>
      <c r="I16" s="49"/>
    </row>
    <row r="17" spans="2:9" ht="28.5" customHeight="1">
      <c r="B17" s="46" t="s">
        <v>12</v>
      </c>
      <c r="C17" s="47"/>
      <c r="D17" s="39">
        <f>(E7-E12)/E7</f>
        <v>0.49074074074074076</v>
      </c>
      <c r="E17" s="159">
        <f>E7-E12</f>
        <v>159000</v>
      </c>
      <c r="F17" s="33">
        <f>(G3-G4)/G3</f>
        <v>0.54166666666666663</v>
      </c>
      <c r="G17" s="159">
        <f>G7-G12</f>
        <v>154375</v>
      </c>
      <c r="H17" s="33">
        <f>(I3-I4)/I3</f>
        <v>0.47499999999999998</v>
      </c>
      <c r="I17" s="32">
        <f>I7-I12</f>
        <v>320625</v>
      </c>
    </row>
    <row r="18" spans="2:9" ht="21.75" customHeight="1">
      <c r="B18" s="228" t="s">
        <v>33</v>
      </c>
      <c r="C18" s="230"/>
      <c r="D18" s="50" t="s">
        <v>36</v>
      </c>
      <c r="E18" s="51" t="s">
        <v>37</v>
      </c>
      <c r="F18" s="50" t="s">
        <v>36</v>
      </c>
      <c r="G18" s="51" t="s">
        <v>37</v>
      </c>
      <c r="H18" s="50" t="s">
        <v>36</v>
      </c>
      <c r="I18" s="51" t="s">
        <v>37</v>
      </c>
    </row>
    <row r="19" spans="2:9" ht="21.75" customHeight="1">
      <c r="B19" s="228"/>
      <c r="C19" s="230"/>
      <c r="D19" s="34">
        <f>E13/(E3-E4)</f>
        <v>16.60377358490566</v>
      </c>
      <c r="E19" s="159">
        <f>E13/D17</f>
        <v>224150.94339622642</v>
      </c>
      <c r="F19" s="34">
        <f>(G13+G14)/(G3-G4)</f>
        <v>18.215384615384615</v>
      </c>
      <c r="G19" s="159">
        <f>(G13+G14)/F17</f>
        <v>273230.76923076925</v>
      </c>
      <c r="H19" s="34">
        <f>(I13+I14)/(I3-I4)</f>
        <v>44.631578947368418</v>
      </c>
      <c r="I19" s="159">
        <f>(I13+I14)/H17</f>
        <v>669473.68421052629</v>
      </c>
    </row>
    <row r="20" spans="2:9" ht="16" thickBot="1">
      <c r="B20" s="6"/>
      <c r="C20" s="7"/>
      <c r="D20" s="35">
        <v>17</v>
      </c>
      <c r="E20" s="170">
        <f>D20*E3</f>
        <v>229500</v>
      </c>
      <c r="F20" s="35">
        <v>19</v>
      </c>
      <c r="G20" s="170">
        <f>F20*G3</f>
        <v>285000</v>
      </c>
      <c r="H20" s="35">
        <v>45</v>
      </c>
      <c r="I20" s="170">
        <f>H20*I3</f>
        <v>675000</v>
      </c>
    </row>
    <row r="21" spans="2:9" ht="5.25" customHeight="1" thickBot="1">
      <c r="B21" s="52"/>
      <c r="C21" s="53"/>
      <c r="D21" s="54"/>
      <c r="E21" s="55"/>
      <c r="F21" s="48"/>
      <c r="G21" s="49"/>
      <c r="H21" s="48"/>
      <c r="I21" s="171"/>
    </row>
    <row r="22" spans="2:9">
      <c r="B22" s="226" t="s">
        <v>41</v>
      </c>
      <c r="C22" s="227"/>
      <c r="D22" s="2"/>
      <c r="E22" s="22"/>
      <c r="F22" s="56"/>
      <c r="G22" s="56"/>
      <c r="H22" s="57">
        <f>I13/(I3-I4)</f>
        <v>30.87719298245614</v>
      </c>
      <c r="I22" s="172">
        <f>I13/H17</f>
        <v>463157.89473684214</v>
      </c>
    </row>
    <row r="23" spans="2:9">
      <c r="B23" s="228"/>
      <c r="C23" s="229"/>
      <c r="D23" s="3"/>
      <c r="E23" s="4"/>
      <c r="H23" s="45">
        <v>31</v>
      </c>
      <c r="I23" s="173">
        <f>H23*I3</f>
        <v>465000</v>
      </c>
    </row>
    <row r="24" spans="2:9" ht="24.75" customHeight="1" thickBot="1">
      <c r="B24" s="58" t="s">
        <v>40</v>
      </c>
      <c r="C24" s="59"/>
      <c r="D24" s="60"/>
      <c r="E24" s="61"/>
      <c r="F24" s="59"/>
      <c r="G24" s="59"/>
      <c r="H24" s="60"/>
      <c r="I24" s="174">
        <f>650000-I23</f>
        <v>185000</v>
      </c>
    </row>
    <row r="27" spans="2:9" ht="30" customHeight="1">
      <c r="B27" s="225" t="s">
        <v>54</v>
      </c>
      <c r="C27" s="225"/>
      <c r="D27" s="225"/>
      <c r="E27" s="225"/>
      <c r="F27" s="225"/>
      <c r="G27" s="225"/>
      <c r="H27" s="225"/>
      <c r="I27" s="225"/>
    </row>
    <row r="28" spans="2:9" ht="30" customHeight="1">
      <c r="B28" s="224" t="s">
        <v>117</v>
      </c>
      <c r="C28" s="224"/>
      <c r="D28" s="224"/>
      <c r="E28" s="224"/>
      <c r="F28" s="224"/>
      <c r="G28" s="224"/>
      <c r="H28" s="224"/>
      <c r="I28" s="224"/>
    </row>
  </sheetData>
  <mergeCells count="9">
    <mergeCell ref="H6:I6"/>
    <mergeCell ref="B1:I1"/>
    <mergeCell ref="B28:I28"/>
    <mergeCell ref="B27:I27"/>
    <mergeCell ref="B22:C23"/>
    <mergeCell ref="B6:C6"/>
    <mergeCell ref="D6:E6"/>
    <mergeCell ref="F6:G6"/>
    <mergeCell ref="B18:C19"/>
  </mergeCells>
  <pageMargins left="0.7" right="0.7" top="0.75" bottom="0.75" header="0.3" footer="0.3"/>
  <pageSetup scale="80" orientation="landscape" cellComments="asDisplayed"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30"/>
  <sheetViews>
    <sheetView showGridLines="0" zoomScale="110" zoomScaleNormal="110" workbookViewId="0">
      <selection activeCell="A30" sqref="A30"/>
    </sheetView>
  </sheetViews>
  <sheetFormatPr baseColWidth="10" defaultColWidth="8.83203125" defaultRowHeight="15"/>
  <cols>
    <col min="1" max="1" width="35.1640625" customWidth="1"/>
    <col min="2" max="2" width="15.83203125" customWidth="1"/>
    <col min="3" max="3" width="14.33203125" bestFit="1" customWidth="1"/>
  </cols>
  <sheetData>
    <row r="1" spans="1:3" ht="19">
      <c r="A1" s="218" t="s">
        <v>112</v>
      </c>
      <c r="B1" s="218"/>
      <c r="C1" s="218"/>
    </row>
    <row r="2" spans="1:3">
      <c r="A2" s="28" t="s">
        <v>53</v>
      </c>
      <c r="B2" s="43">
        <v>200</v>
      </c>
      <c r="C2" s="13" t="s">
        <v>17</v>
      </c>
    </row>
    <row r="3" spans="1:3">
      <c r="A3" s="28" t="s">
        <v>35</v>
      </c>
      <c r="B3" s="44">
        <f>C7/B2</f>
        <v>42000</v>
      </c>
      <c r="C3" s="15" t="s">
        <v>18</v>
      </c>
    </row>
    <row r="4" spans="1:3">
      <c r="A4" s="28" t="s">
        <v>38</v>
      </c>
      <c r="B4" s="44">
        <f>C22/B2</f>
        <v>9120</v>
      </c>
    </row>
    <row r="5" spans="1:3">
      <c r="A5" s="28" t="s">
        <v>55</v>
      </c>
      <c r="B5" s="75">
        <f>B3/365</f>
        <v>115.06849315068493</v>
      </c>
    </row>
    <row r="6" spans="1:3" ht="17" thickBot="1">
      <c r="A6" s="26" t="s">
        <v>25</v>
      </c>
      <c r="B6" s="14"/>
      <c r="C6" s="24" t="s">
        <v>13</v>
      </c>
    </row>
    <row r="7" spans="1:3">
      <c r="A7" s="2" t="s">
        <v>50</v>
      </c>
      <c r="B7" s="22"/>
      <c r="C7" s="20">
        <v>8400000</v>
      </c>
    </row>
    <row r="8" spans="1:3">
      <c r="A8" s="3" t="s">
        <v>42</v>
      </c>
      <c r="B8" s="4"/>
      <c r="C8" s="8">
        <v>11700000</v>
      </c>
    </row>
    <row r="9" spans="1:3">
      <c r="A9" s="3" t="s">
        <v>4</v>
      </c>
      <c r="B9" s="4"/>
      <c r="C9" s="10"/>
    </row>
    <row r="10" spans="1:3">
      <c r="A10" s="16" t="s">
        <v>43</v>
      </c>
      <c r="B10" s="4"/>
      <c r="C10" s="11">
        <v>2750000</v>
      </c>
    </row>
    <row r="11" spans="1:3" ht="17">
      <c r="A11" s="17" t="s">
        <v>44</v>
      </c>
      <c r="B11" s="4"/>
      <c r="C11" s="11">
        <v>2300000</v>
      </c>
    </row>
    <row r="12" spans="1:3" ht="17">
      <c r="A12" s="17" t="s">
        <v>45</v>
      </c>
      <c r="B12" s="4"/>
      <c r="C12" s="11">
        <v>65000</v>
      </c>
    </row>
    <row r="13" spans="1:3" ht="17">
      <c r="A13" s="17" t="s">
        <v>46</v>
      </c>
      <c r="B13" s="4"/>
      <c r="C13" s="11">
        <v>55000</v>
      </c>
    </row>
    <row r="14" spans="1:3" ht="17">
      <c r="A14" s="19" t="s">
        <v>51</v>
      </c>
      <c r="B14" s="4"/>
      <c r="C14" s="11">
        <v>1824000</v>
      </c>
    </row>
    <row r="15" spans="1:3" ht="17">
      <c r="A15" s="17" t="s">
        <v>52</v>
      </c>
      <c r="B15" s="4"/>
      <c r="C15" s="11">
        <v>456000</v>
      </c>
    </row>
    <row r="16" spans="1:3" ht="17">
      <c r="A16" s="17" t="s">
        <v>48</v>
      </c>
      <c r="B16" s="4"/>
      <c r="C16" s="11">
        <v>130000</v>
      </c>
    </row>
    <row r="17" spans="1:3" ht="17">
      <c r="A17" s="17" t="s">
        <v>49</v>
      </c>
      <c r="B17" s="4"/>
      <c r="C17" s="11">
        <v>144000</v>
      </c>
    </row>
    <row r="18" spans="1:3" ht="17">
      <c r="A18" s="5" t="s">
        <v>21</v>
      </c>
      <c r="B18" s="23"/>
      <c r="C18" s="9">
        <f>-SUM(C10:C17)</f>
        <v>-7724000</v>
      </c>
    </row>
    <row r="19" spans="1:3" ht="18" thickBot="1">
      <c r="A19" s="5" t="s">
        <v>9</v>
      </c>
      <c r="B19" s="4"/>
      <c r="C19" s="12">
        <f>C7+C18</f>
        <v>676000</v>
      </c>
    </row>
    <row r="20" spans="1:3" ht="17" thickTop="1" thickBot="1">
      <c r="A20" s="6"/>
      <c r="B20" s="7"/>
      <c r="C20" s="21"/>
    </row>
    <row r="21" spans="1:3" ht="16" thickBot="1"/>
    <row r="22" spans="1:3">
      <c r="A22" s="64" t="s">
        <v>19</v>
      </c>
      <c r="B22" s="65"/>
      <c r="C22" s="66">
        <f>C14</f>
        <v>1824000</v>
      </c>
    </row>
    <row r="23" spans="1:3">
      <c r="A23" s="67" t="s">
        <v>20</v>
      </c>
      <c r="B23" s="68"/>
      <c r="C23" s="69">
        <f>SUM(C10:C17)-C14</f>
        <v>5900000</v>
      </c>
    </row>
    <row r="24" spans="1:3" ht="16" thickBot="1">
      <c r="A24" s="70" t="s">
        <v>47</v>
      </c>
      <c r="B24" s="71"/>
      <c r="C24" s="72">
        <v>2280000</v>
      </c>
    </row>
    <row r="25" spans="1:3" ht="3.75" customHeight="1" thickBot="1">
      <c r="A25" s="3"/>
      <c r="C25" s="63"/>
    </row>
    <row r="26" spans="1:3">
      <c r="A26" s="73" t="s">
        <v>12</v>
      </c>
      <c r="B26" s="74">
        <f>(C7-C14)/C7</f>
        <v>0.78285714285714281</v>
      </c>
      <c r="C26" s="29">
        <f>C7-C14</f>
        <v>6576000</v>
      </c>
    </row>
    <row r="27" spans="1:3">
      <c r="A27" s="231" t="s">
        <v>33</v>
      </c>
      <c r="B27" s="50" t="s">
        <v>36</v>
      </c>
      <c r="C27" s="51" t="s">
        <v>37</v>
      </c>
    </row>
    <row r="28" spans="1:3">
      <c r="A28" s="231"/>
      <c r="B28" s="34">
        <f>C23/(B3-B4)</f>
        <v>179.4403892944039</v>
      </c>
      <c r="C28" s="32">
        <f>C23/B26</f>
        <v>7536496.3503649635</v>
      </c>
    </row>
    <row r="29" spans="1:3" ht="16" thickBot="1">
      <c r="A29" s="232"/>
      <c r="B29" s="35">
        <v>180</v>
      </c>
      <c r="C29" s="36">
        <f>B29*B3</f>
        <v>7560000</v>
      </c>
    </row>
    <row r="30" spans="1:3" ht="25.5" customHeight="1" thickBot="1">
      <c r="A30" s="58" t="s">
        <v>40</v>
      </c>
      <c r="B30" s="59"/>
      <c r="C30" s="62">
        <f>C7-C28</f>
        <v>863503.64963503648</v>
      </c>
    </row>
  </sheetData>
  <mergeCells count="2">
    <mergeCell ref="A27:A29"/>
    <mergeCell ref="A1:C1"/>
  </mergeCells>
  <pageMargins left="0.7" right="0.45" top="0.75" bottom="0.75" header="0.3" footer="0.3"/>
  <pageSetup scale="125" orientation="portrait" cellComments="asDisplayed"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M16"/>
  <sheetViews>
    <sheetView showGridLines="0" topLeftCell="B1" zoomScale="85" zoomScaleNormal="85" zoomScaleSheetLayoutView="83" workbookViewId="0">
      <selection activeCell="O39" sqref="O39"/>
    </sheetView>
  </sheetViews>
  <sheetFormatPr baseColWidth="10" defaultColWidth="8.83203125" defaultRowHeight="15"/>
  <cols>
    <col min="1" max="1" width="4.5" customWidth="1"/>
    <col min="2" max="2" width="19.33203125" bestFit="1" customWidth="1"/>
    <col min="3" max="3" width="10.5" bestFit="1" customWidth="1"/>
    <col min="4" max="4" width="20.1640625" bestFit="1" customWidth="1"/>
    <col min="5" max="5" width="12.5" bestFit="1" customWidth="1"/>
    <col min="6" max="6" width="7.6640625" customWidth="1"/>
    <col min="7" max="7" width="12.5" bestFit="1" customWidth="1"/>
    <col min="8" max="8" width="6.1640625" bestFit="1" customWidth="1"/>
    <col min="9" max="9" width="12.5" bestFit="1" customWidth="1"/>
    <col min="10" max="10" width="7.5" bestFit="1" customWidth="1"/>
    <col min="11" max="11" width="12.83203125" customWidth="1"/>
    <col min="12" max="12" width="6.1640625" bestFit="1" customWidth="1"/>
    <col min="13" max="13" width="14" customWidth="1"/>
  </cols>
  <sheetData>
    <row r="1" spans="2:13" ht="19">
      <c r="B1" s="218" t="s">
        <v>113</v>
      </c>
      <c r="C1" s="218"/>
      <c r="D1" s="218"/>
      <c r="E1" s="218"/>
      <c r="F1" s="218"/>
      <c r="G1" s="218"/>
      <c r="H1" s="218"/>
      <c r="I1" s="218"/>
      <c r="J1" s="218"/>
      <c r="K1" s="218"/>
      <c r="L1" s="218"/>
      <c r="M1" s="218"/>
    </row>
    <row r="2" spans="2:13">
      <c r="B2" s="13" t="s">
        <v>17</v>
      </c>
      <c r="D2" s="28" t="s">
        <v>62</v>
      </c>
      <c r="F2" s="28"/>
      <c r="G2" s="43">
        <f>E7/G3</f>
        <v>6000</v>
      </c>
      <c r="H2" s="28"/>
      <c r="I2" s="43">
        <f>G2*1.1</f>
        <v>6600.0000000000009</v>
      </c>
      <c r="J2" s="28"/>
      <c r="K2" s="43">
        <f>G2*90%</f>
        <v>5400</v>
      </c>
      <c r="L2" s="28"/>
      <c r="M2" s="43">
        <f>G2*1.6</f>
        <v>9600</v>
      </c>
    </row>
    <row r="3" spans="2:13">
      <c r="B3" s="15" t="s">
        <v>18</v>
      </c>
      <c r="D3" s="28" t="s">
        <v>35</v>
      </c>
      <c r="F3" s="156"/>
      <c r="G3" s="211">
        <v>60</v>
      </c>
      <c r="H3" s="156"/>
      <c r="I3" s="157">
        <f>G3</f>
        <v>60</v>
      </c>
      <c r="J3" s="156"/>
      <c r="K3" s="157">
        <f>G3+10</f>
        <v>70</v>
      </c>
      <c r="L3" s="156"/>
      <c r="M3" s="157">
        <f>G3</f>
        <v>60</v>
      </c>
    </row>
    <row r="4" spans="2:13">
      <c r="D4" s="28" t="s">
        <v>38</v>
      </c>
      <c r="F4" s="156"/>
      <c r="G4" s="157">
        <v>30</v>
      </c>
      <c r="H4" s="156"/>
      <c r="I4" s="157">
        <v>30</v>
      </c>
      <c r="J4" s="156"/>
      <c r="K4" s="157">
        <f>I4+8</f>
        <v>38</v>
      </c>
      <c r="L4" s="156"/>
      <c r="M4" s="157">
        <f>G4</f>
        <v>30</v>
      </c>
    </row>
    <row r="5" spans="2:13">
      <c r="D5" s="28"/>
      <c r="E5" s="27"/>
      <c r="F5" s="28"/>
      <c r="G5" s="27"/>
    </row>
    <row r="6" spans="2:13" ht="17" thickBot="1">
      <c r="B6" s="223" t="s">
        <v>25</v>
      </c>
      <c r="C6" s="223"/>
      <c r="D6" s="223" t="s">
        <v>61</v>
      </c>
      <c r="E6" s="223"/>
      <c r="F6" s="223" t="s">
        <v>60</v>
      </c>
      <c r="G6" s="223"/>
      <c r="H6" s="223" t="s">
        <v>59</v>
      </c>
      <c r="I6" s="223"/>
      <c r="J6" s="223" t="s">
        <v>58</v>
      </c>
      <c r="K6" s="223"/>
      <c r="L6" s="223" t="s">
        <v>57</v>
      </c>
      <c r="M6" s="223"/>
    </row>
    <row r="7" spans="2:13" ht="21" customHeight="1">
      <c r="B7" s="2" t="s">
        <v>28</v>
      </c>
      <c r="C7" s="76"/>
      <c r="D7" s="77"/>
      <c r="E7" s="161">
        <v>360000</v>
      </c>
      <c r="F7" s="79">
        <f>(G7-$E$7)/$E$7</f>
        <v>0</v>
      </c>
      <c r="G7" s="158">
        <f>E7</f>
        <v>360000</v>
      </c>
      <c r="H7" s="79">
        <f>(I7-$E$7)/$E$7</f>
        <v>0.10000000000000016</v>
      </c>
      <c r="I7" s="158">
        <f>I2*I3</f>
        <v>396000.00000000006</v>
      </c>
      <c r="J7" s="79">
        <f>(K7-$E$7)/$E$7</f>
        <v>0.05</v>
      </c>
      <c r="K7" s="158">
        <f>K2*K3</f>
        <v>378000</v>
      </c>
      <c r="L7" s="79">
        <f>(M7-$E$7)/$E$7</f>
        <v>0.6</v>
      </c>
      <c r="M7" s="158">
        <f>M2*M3</f>
        <v>576000</v>
      </c>
    </row>
    <row r="8" spans="2:13" ht="21" customHeight="1">
      <c r="B8" s="82" t="s">
        <v>26</v>
      </c>
      <c r="C8" s="78"/>
      <c r="D8" s="30"/>
      <c r="E8" s="160">
        <v>180000</v>
      </c>
      <c r="F8" s="30"/>
      <c r="G8" s="159">
        <f>E8*80%</f>
        <v>144000</v>
      </c>
      <c r="H8" s="30"/>
      <c r="I8" s="159">
        <f>I2*I4</f>
        <v>198000.00000000003</v>
      </c>
      <c r="J8" s="30"/>
      <c r="K8" s="159">
        <f>K2*K4</f>
        <v>205200</v>
      </c>
      <c r="L8" s="30"/>
      <c r="M8" s="159">
        <f>M4*M2</f>
        <v>288000</v>
      </c>
    </row>
    <row r="9" spans="2:13" ht="21" customHeight="1">
      <c r="B9" s="16" t="s">
        <v>27</v>
      </c>
      <c r="C9" s="78"/>
      <c r="D9" s="30"/>
      <c r="E9" s="160">
        <v>100000</v>
      </c>
      <c r="F9" s="30"/>
      <c r="G9" s="159">
        <f>E9*1.15</f>
        <v>114999.99999999999</v>
      </c>
      <c r="H9" s="30"/>
      <c r="I9" s="159">
        <f>E9</f>
        <v>100000</v>
      </c>
      <c r="J9" s="30"/>
      <c r="K9" s="159">
        <f>E9</f>
        <v>100000</v>
      </c>
      <c r="L9" s="30"/>
      <c r="M9" s="159">
        <f>E9*2</f>
        <v>200000</v>
      </c>
    </row>
    <row r="10" spans="2:13" ht="21" customHeight="1">
      <c r="B10" s="16" t="s">
        <v>48</v>
      </c>
      <c r="C10" s="78"/>
      <c r="D10" s="30"/>
      <c r="E10" s="160"/>
      <c r="F10" s="30"/>
      <c r="G10" s="159"/>
      <c r="H10" s="30"/>
      <c r="I10" s="159">
        <v>15000</v>
      </c>
      <c r="J10" s="30"/>
      <c r="K10" s="159"/>
      <c r="L10" s="30"/>
      <c r="M10" s="159"/>
    </row>
    <row r="11" spans="2:13" ht="21" customHeight="1">
      <c r="B11" s="3" t="s">
        <v>32</v>
      </c>
      <c r="C11" s="78"/>
      <c r="D11" s="30"/>
      <c r="E11" s="160">
        <f>E7-E8-E9</f>
        <v>80000</v>
      </c>
      <c r="F11" s="80">
        <f>(G11-$E$11)/$E$11</f>
        <v>0.26250000000000018</v>
      </c>
      <c r="G11" s="160">
        <f>G7-G8-G9</f>
        <v>101000.00000000001</v>
      </c>
      <c r="H11" s="80">
        <f>(I11-$E$11)/$E$11</f>
        <v>3.7500000000000366E-2</v>
      </c>
      <c r="I11" s="160">
        <f>I7-I8-I9-I10</f>
        <v>83000.000000000029</v>
      </c>
      <c r="J11" s="81">
        <f>(K11-$E$11)/$E$11</f>
        <v>-0.09</v>
      </c>
      <c r="K11" s="160">
        <f>K7-K8-K9-K10</f>
        <v>72800</v>
      </c>
      <c r="L11" s="80">
        <f>(M11-$E$11)/$E$11</f>
        <v>0.1</v>
      </c>
      <c r="M11" s="160">
        <f>M7-M8-M9-M10</f>
        <v>88000</v>
      </c>
    </row>
    <row r="12" spans="2:13">
      <c r="B12" s="3"/>
      <c r="C12" s="41"/>
      <c r="D12" s="37"/>
      <c r="E12" s="38"/>
      <c r="F12" s="30"/>
      <c r="G12" s="31"/>
      <c r="H12" s="30"/>
      <c r="I12" s="31"/>
      <c r="J12" s="30"/>
      <c r="K12" s="31"/>
      <c r="L12" s="30"/>
      <c r="M12" s="31"/>
    </row>
    <row r="13" spans="2:13" ht="4.5" customHeight="1">
      <c r="B13" s="52"/>
      <c r="C13" s="53"/>
      <c r="D13" s="54"/>
      <c r="E13" s="55"/>
      <c r="F13" s="48"/>
      <c r="G13" s="49"/>
      <c r="H13" s="48"/>
      <c r="I13" s="49"/>
      <c r="J13" s="48"/>
      <c r="K13" s="49"/>
      <c r="L13" s="48"/>
      <c r="M13" s="49"/>
    </row>
    <row r="16" spans="2:13" ht="60" customHeight="1">
      <c r="B16" s="233" t="s">
        <v>63</v>
      </c>
      <c r="C16" s="233"/>
      <c r="D16" s="233"/>
      <c r="E16" s="233"/>
      <c r="F16" s="233"/>
      <c r="G16" s="233"/>
      <c r="H16" s="233"/>
      <c r="I16" s="233"/>
      <c r="J16" s="233"/>
      <c r="K16" s="233"/>
      <c r="L16" s="233"/>
      <c r="M16" s="233"/>
    </row>
  </sheetData>
  <mergeCells count="8">
    <mergeCell ref="B1:M1"/>
    <mergeCell ref="J6:K6"/>
    <mergeCell ref="L6:M6"/>
    <mergeCell ref="B16:M16"/>
    <mergeCell ref="B6:C6"/>
    <mergeCell ref="D6:E6"/>
    <mergeCell ref="F6:G6"/>
    <mergeCell ref="H6:I6"/>
  </mergeCells>
  <pageMargins left="0" right="0" top="0.75" bottom="0.75" header="0.3" footer="0.3"/>
  <pageSetup scale="83"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23"/>
  <sheetViews>
    <sheetView showGridLines="0" workbookViewId="0">
      <selection activeCell="K37" sqref="K37"/>
    </sheetView>
  </sheetViews>
  <sheetFormatPr baseColWidth="10" defaultColWidth="8.83203125" defaultRowHeight="15"/>
  <cols>
    <col min="1" max="1" width="4.5" customWidth="1"/>
    <col min="2" max="2" width="23" bestFit="1" customWidth="1"/>
    <col min="3" max="4" width="19.5" customWidth="1"/>
    <col min="5" max="5" width="14" customWidth="1"/>
    <col min="6" max="6" width="2.5" customWidth="1"/>
  </cols>
  <sheetData>
    <row r="1" spans="2:5" ht="19">
      <c r="B1" s="218" t="s">
        <v>114</v>
      </c>
      <c r="C1" s="218"/>
      <c r="D1" s="218"/>
      <c r="E1" s="218"/>
    </row>
    <row r="2" spans="2:5">
      <c r="B2" s="28" t="s">
        <v>53</v>
      </c>
      <c r="C2" s="43">
        <v>2500</v>
      </c>
      <c r="D2" s="90">
        <v>1500</v>
      </c>
      <c r="E2">
        <f>SUM(C2:D2)</f>
        <v>4000</v>
      </c>
    </row>
    <row r="3" spans="2:5">
      <c r="B3" s="28" t="s">
        <v>35</v>
      </c>
      <c r="C3" s="44">
        <f>C7/C12</f>
        <v>84</v>
      </c>
      <c r="D3" s="75">
        <f>D7/D12</f>
        <v>93.333333333333329</v>
      </c>
    </row>
    <row r="4" spans="2:5">
      <c r="B4" s="28" t="s">
        <v>38</v>
      </c>
      <c r="C4" s="44">
        <f>C8/C12</f>
        <v>33.6</v>
      </c>
      <c r="D4" s="44">
        <f>D8/D12</f>
        <v>56.666666666666664</v>
      </c>
    </row>
    <row r="5" spans="2:5" ht="16" thickBot="1"/>
    <row r="6" spans="2:5" ht="17">
      <c r="B6" s="85"/>
      <c r="C6" s="86" t="s">
        <v>64</v>
      </c>
      <c r="D6" s="86" t="s">
        <v>65</v>
      </c>
      <c r="E6" s="87" t="s">
        <v>66</v>
      </c>
    </row>
    <row r="7" spans="2:5" ht="16">
      <c r="B7" s="83" t="s">
        <v>1</v>
      </c>
      <c r="C7" s="153">
        <v>210000</v>
      </c>
      <c r="D7" s="153">
        <v>140000</v>
      </c>
      <c r="E7" s="154">
        <f>C7+D7</f>
        <v>350000</v>
      </c>
    </row>
    <row r="8" spans="2:5" ht="16">
      <c r="B8" s="83" t="s">
        <v>67</v>
      </c>
      <c r="C8" s="153">
        <v>84000</v>
      </c>
      <c r="D8" s="153">
        <v>85000</v>
      </c>
      <c r="E8" s="154">
        <f t="shared" ref="E8:E12" si="0">C8+D8</f>
        <v>169000</v>
      </c>
    </row>
    <row r="9" spans="2:5" ht="16">
      <c r="B9" s="83" t="s">
        <v>68</v>
      </c>
      <c r="C9" s="153">
        <f>C7-C8</f>
        <v>126000</v>
      </c>
      <c r="D9" s="153">
        <f>D7-D8</f>
        <v>55000</v>
      </c>
      <c r="E9" s="154">
        <f t="shared" si="0"/>
        <v>181000</v>
      </c>
    </row>
    <row r="10" spans="2:5" ht="16">
      <c r="B10" s="83" t="s">
        <v>69</v>
      </c>
      <c r="C10" s="153">
        <v>102000</v>
      </c>
      <c r="D10" s="153">
        <v>68000</v>
      </c>
      <c r="E10" s="154">
        <f t="shared" si="0"/>
        <v>170000</v>
      </c>
    </row>
    <row r="11" spans="2:5" ht="16">
      <c r="B11" s="83" t="s">
        <v>70</v>
      </c>
      <c r="C11" s="153">
        <v>24000</v>
      </c>
      <c r="D11" s="155">
        <f>D9-D10</f>
        <v>-13000</v>
      </c>
      <c r="E11" s="154">
        <f t="shared" si="0"/>
        <v>11000</v>
      </c>
    </row>
    <row r="12" spans="2:5" ht="31.5" customHeight="1" thickBot="1">
      <c r="B12" s="84" t="s">
        <v>71</v>
      </c>
      <c r="C12" s="88">
        <v>2500</v>
      </c>
      <c r="D12" s="88">
        <v>1500</v>
      </c>
      <c r="E12" s="89">
        <f t="shared" si="0"/>
        <v>4000</v>
      </c>
    </row>
    <row r="13" spans="2:5" ht="16" thickBot="1"/>
    <row r="14" spans="2:5" ht="17">
      <c r="B14" s="85"/>
      <c r="C14" s="86" t="s">
        <v>64</v>
      </c>
      <c r="D14" s="86" t="s">
        <v>65</v>
      </c>
      <c r="E14" s="87" t="s">
        <v>66</v>
      </c>
    </row>
    <row r="15" spans="2:5" ht="16">
      <c r="B15" s="83" t="s">
        <v>1</v>
      </c>
      <c r="C15" s="153">
        <f>C20*C3</f>
        <v>84000</v>
      </c>
      <c r="D15" s="153">
        <f>D7*2</f>
        <v>280000</v>
      </c>
      <c r="E15" s="154">
        <f>C15+D15</f>
        <v>364000</v>
      </c>
    </row>
    <row r="16" spans="2:5" ht="16">
      <c r="B16" s="83" t="s">
        <v>67</v>
      </c>
      <c r="C16" s="153">
        <f>C20*C4</f>
        <v>33600</v>
      </c>
      <c r="D16" s="153">
        <f>D2*2*D4</f>
        <v>170000</v>
      </c>
      <c r="E16" s="154">
        <f t="shared" ref="E16:E19" si="1">C16+D16</f>
        <v>203600</v>
      </c>
    </row>
    <row r="17" spans="2:5" ht="16">
      <c r="B17" s="83" t="s">
        <v>68</v>
      </c>
      <c r="C17" s="153">
        <f>C15-C16</f>
        <v>50400</v>
      </c>
      <c r="D17" s="153">
        <f>D15-D16</f>
        <v>110000</v>
      </c>
      <c r="E17" s="154">
        <f t="shared" si="1"/>
        <v>160400</v>
      </c>
    </row>
    <row r="18" spans="2:5" ht="16">
      <c r="B18" s="83" t="s">
        <v>69</v>
      </c>
      <c r="C18" s="153">
        <v>102000</v>
      </c>
      <c r="D18" s="153">
        <v>68000</v>
      </c>
      <c r="E18" s="154">
        <f t="shared" si="1"/>
        <v>170000</v>
      </c>
    </row>
    <row r="19" spans="2:5" ht="16">
      <c r="B19" s="83" t="s">
        <v>70</v>
      </c>
      <c r="C19" s="155">
        <f>C17-C18</f>
        <v>-51600</v>
      </c>
      <c r="D19" s="153">
        <f>D17-D18</f>
        <v>42000</v>
      </c>
      <c r="E19" s="155">
        <f t="shared" si="1"/>
        <v>-9600</v>
      </c>
    </row>
    <row r="20" spans="2:5" ht="50.25" customHeight="1" thickBot="1">
      <c r="B20" s="84" t="s">
        <v>71</v>
      </c>
      <c r="C20" s="88">
        <f>E2-D20</f>
        <v>1000</v>
      </c>
      <c r="D20" s="88">
        <f>D12*2</f>
        <v>3000</v>
      </c>
      <c r="E20" s="89">
        <f t="shared" ref="E20" si="2">C20+D20</f>
        <v>4000</v>
      </c>
    </row>
    <row r="23" spans="2:5" ht="30.75" customHeight="1">
      <c r="B23" s="234" t="s">
        <v>72</v>
      </c>
      <c r="C23" s="234"/>
      <c r="D23" s="234"/>
      <c r="E23" s="234"/>
    </row>
  </sheetData>
  <mergeCells count="2">
    <mergeCell ref="B23:E23"/>
    <mergeCell ref="B1:E1"/>
  </mergeCells>
  <pageMargins left="0.45" right="0.45" top="0.75" bottom="0.75" header="0.3" footer="0.3"/>
  <pageSetup scale="115"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F13"/>
  <sheetViews>
    <sheetView showGridLines="0" topLeftCell="B1" zoomScale="150" workbookViewId="0">
      <selection activeCell="B13" sqref="B13"/>
    </sheetView>
  </sheetViews>
  <sheetFormatPr baseColWidth="10" defaultColWidth="8.83203125" defaultRowHeight="15"/>
  <cols>
    <col min="1" max="1" width="2.1640625" customWidth="1"/>
    <col min="2" max="2" width="29.5" customWidth="1"/>
    <col min="3" max="6" width="10.5" bestFit="1" customWidth="1"/>
  </cols>
  <sheetData>
    <row r="1" spans="2:6" ht="19">
      <c r="B1" s="218" t="s">
        <v>115</v>
      </c>
      <c r="C1" s="218"/>
      <c r="D1" s="218"/>
      <c r="E1" s="218"/>
      <c r="F1" s="218"/>
    </row>
    <row r="2" spans="2:6">
      <c r="B2" s="28" t="s">
        <v>53</v>
      </c>
      <c r="C2">
        <v>1500</v>
      </c>
    </row>
    <row r="3" spans="2:6">
      <c r="B3" s="28" t="s">
        <v>35</v>
      </c>
    </row>
    <row r="4" spans="2:6" ht="16" thickBot="1">
      <c r="B4" s="28" t="s">
        <v>38</v>
      </c>
    </row>
    <row r="5" spans="2:6" ht="17">
      <c r="B5" s="91"/>
      <c r="C5" s="188" t="s">
        <v>73</v>
      </c>
      <c r="D5" s="188" t="s">
        <v>74</v>
      </c>
      <c r="E5" s="188" t="s">
        <v>75</v>
      </c>
      <c r="F5" s="189" t="s">
        <v>66</v>
      </c>
    </row>
    <row r="6" spans="2:6" ht="17">
      <c r="B6" s="92" t="s">
        <v>76</v>
      </c>
      <c r="C6" s="93">
        <v>15</v>
      </c>
      <c r="D6" s="93">
        <v>5</v>
      </c>
      <c r="E6" s="93">
        <v>8</v>
      </c>
      <c r="F6" s="94">
        <f>1500*60</f>
        <v>90000</v>
      </c>
    </row>
    <row r="7" spans="2:6" ht="18" thickBot="1">
      <c r="B7" s="107" t="s">
        <v>77</v>
      </c>
      <c r="C7" s="108">
        <v>3500</v>
      </c>
      <c r="D7" s="108">
        <v>3000</v>
      </c>
      <c r="E7" s="108">
        <v>5000</v>
      </c>
      <c r="F7" s="109"/>
    </row>
    <row r="8" spans="2:6">
      <c r="B8" s="105" t="s">
        <v>78</v>
      </c>
      <c r="C8" s="152">
        <v>5</v>
      </c>
      <c r="D8" s="152">
        <v>5</v>
      </c>
      <c r="E8" s="152">
        <v>2</v>
      </c>
      <c r="F8" s="106"/>
    </row>
    <row r="9" spans="2:6">
      <c r="B9" s="95" t="s">
        <v>80</v>
      </c>
      <c r="C9" s="96">
        <f>C8/C6</f>
        <v>0.33333333333333331</v>
      </c>
      <c r="D9" s="96">
        <f>D8/D6</f>
        <v>1</v>
      </c>
      <c r="E9" s="96">
        <f>E8/E6</f>
        <v>0.25</v>
      </c>
      <c r="F9" s="97"/>
    </row>
    <row r="10" spans="2:6">
      <c r="B10" s="95" t="s">
        <v>81</v>
      </c>
      <c r="C10" s="96">
        <v>2</v>
      </c>
      <c r="D10" s="96">
        <v>1</v>
      </c>
      <c r="E10" s="96">
        <v>3</v>
      </c>
      <c r="F10" s="97"/>
    </row>
    <row r="11" spans="2:6" ht="16">
      <c r="B11" s="98" t="s">
        <v>79</v>
      </c>
      <c r="C11" s="99">
        <f>C6*C7</f>
        <v>52500</v>
      </c>
      <c r="D11" s="99">
        <f>D7*D6</f>
        <v>15000</v>
      </c>
      <c r="E11" s="99">
        <f>F11-D11-C11</f>
        <v>22500</v>
      </c>
      <c r="F11" s="100">
        <f>F6</f>
        <v>90000</v>
      </c>
    </row>
    <row r="12" spans="2:6" ht="16">
      <c r="B12" s="98" t="s">
        <v>94</v>
      </c>
      <c r="C12" s="96">
        <f>C11/60</f>
        <v>875</v>
      </c>
      <c r="D12" s="96">
        <f t="shared" ref="D12:F12" si="0">D11/60</f>
        <v>250</v>
      </c>
      <c r="E12" s="96">
        <f t="shared" si="0"/>
        <v>375</v>
      </c>
      <c r="F12" s="101">
        <f t="shared" si="0"/>
        <v>1500</v>
      </c>
    </row>
    <row r="13" spans="2:6" ht="16" thickBot="1">
      <c r="B13" s="102" t="s">
        <v>93</v>
      </c>
      <c r="C13" s="103">
        <f t="shared" ref="C13:D13" si="1">C11/C6</f>
        <v>3500</v>
      </c>
      <c r="D13" s="103">
        <f t="shared" si="1"/>
        <v>3000</v>
      </c>
      <c r="E13" s="103">
        <f>E11/E6</f>
        <v>2812.5</v>
      </c>
      <c r="F13" s="104">
        <f>SUM(C13:E13)</f>
        <v>9312.5</v>
      </c>
    </row>
  </sheetData>
  <mergeCells count="1">
    <mergeCell ref="B1:F1"/>
  </mergeCells>
  <pageMargins left="0.7" right="0.7" top="0.75" bottom="0.75" header="0.3" footer="0.3"/>
  <pageSetup scale="120"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J14"/>
  <sheetViews>
    <sheetView showGridLines="0" topLeftCell="B1" zoomScale="125" zoomScaleNormal="100" workbookViewId="0">
      <selection activeCell="J11" sqref="J11"/>
    </sheetView>
  </sheetViews>
  <sheetFormatPr baseColWidth="10" defaultColWidth="8.83203125" defaultRowHeight="15"/>
  <cols>
    <col min="1" max="1" width="1.6640625" customWidth="1"/>
    <col min="2" max="2" width="23.5" customWidth="1"/>
    <col min="3" max="3" width="9" customWidth="1"/>
    <col min="4" max="4" width="11" customWidth="1"/>
    <col min="5" max="5" width="9.6640625" customWidth="1"/>
    <col min="6" max="6" width="10.83203125" customWidth="1"/>
    <col min="8" max="8" width="12.33203125" customWidth="1"/>
    <col min="9" max="9" width="12.5" customWidth="1"/>
    <col min="10" max="10" width="12.33203125" customWidth="1"/>
  </cols>
  <sheetData>
    <row r="1" spans="2:10" ht="20" thickBot="1">
      <c r="B1" s="235" t="s">
        <v>116</v>
      </c>
      <c r="C1" s="236"/>
      <c r="D1" s="236"/>
      <c r="E1" s="236"/>
      <c r="F1" s="236"/>
      <c r="G1" s="236"/>
      <c r="H1" s="236"/>
      <c r="I1" s="236"/>
      <c r="J1" s="237"/>
    </row>
    <row r="2" spans="2:10">
      <c r="B2" s="28" t="s">
        <v>92</v>
      </c>
      <c r="C2">
        <f>24*60</f>
        <v>1440</v>
      </c>
    </row>
    <row r="3" spans="2:10">
      <c r="B3" s="28" t="s">
        <v>35</v>
      </c>
    </row>
    <row r="4" spans="2:10">
      <c r="B4" s="28" t="s">
        <v>38</v>
      </c>
    </row>
    <row r="5" spans="2:10" ht="30">
      <c r="B5" s="110" t="s">
        <v>82</v>
      </c>
      <c r="C5" s="111" t="s">
        <v>83</v>
      </c>
      <c r="D5" s="111" t="s">
        <v>84</v>
      </c>
      <c r="E5" s="111" t="s">
        <v>26</v>
      </c>
      <c r="F5" s="111" t="s">
        <v>85</v>
      </c>
    </row>
    <row r="6" spans="2:10">
      <c r="B6" s="238" t="s">
        <v>86</v>
      </c>
      <c r="C6" s="239" t="s">
        <v>87</v>
      </c>
      <c r="D6" s="239">
        <v>2.5</v>
      </c>
      <c r="E6" s="239">
        <v>1</v>
      </c>
      <c r="F6" s="240">
        <v>150</v>
      </c>
    </row>
    <row r="7" spans="2:10">
      <c r="B7" s="112" t="s">
        <v>88</v>
      </c>
      <c r="C7" s="113" t="s">
        <v>89</v>
      </c>
      <c r="D7" s="113">
        <v>1.7</v>
      </c>
      <c r="E7" s="113" t="s">
        <v>106</v>
      </c>
      <c r="F7" s="114">
        <v>210</v>
      </c>
    </row>
    <row r="8" spans="2:10">
      <c r="B8" s="112" t="s">
        <v>90</v>
      </c>
      <c r="C8" s="113" t="s">
        <v>91</v>
      </c>
      <c r="D8" s="113">
        <v>3.2</v>
      </c>
      <c r="E8" s="113">
        <v>1.5</v>
      </c>
      <c r="F8" s="114">
        <v>300</v>
      </c>
    </row>
    <row r="10" spans="2:10" ht="16" thickBot="1"/>
    <row r="11" spans="2:10" ht="30">
      <c r="B11" s="117" t="s">
        <v>82</v>
      </c>
      <c r="C11" s="118" t="s">
        <v>83</v>
      </c>
      <c r="D11" s="118" t="s">
        <v>84</v>
      </c>
      <c r="E11" s="118" t="s">
        <v>26</v>
      </c>
      <c r="F11" s="118" t="s">
        <v>78</v>
      </c>
      <c r="G11" s="118" t="s">
        <v>80</v>
      </c>
      <c r="H11" s="118" t="s">
        <v>81</v>
      </c>
      <c r="I11" s="118" t="s">
        <v>93</v>
      </c>
      <c r="J11" s="119" t="s">
        <v>95</v>
      </c>
    </row>
    <row r="12" spans="2:10">
      <c r="B12" s="115" t="s">
        <v>86</v>
      </c>
      <c r="C12" s="120">
        <v>4.5999999999999996</v>
      </c>
      <c r="D12" s="121">
        <v>2.5</v>
      </c>
      <c r="E12" s="148">
        <v>1</v>
      </c>
      <c r="F12" s="149">
        <f>D12-E12</f>
        <v>1.5</v>
      </c>
      <c r="G12" s="120">
        <f>F12/C12</f>
        <v>0.32608695652173914</v>
      </c>
      <c r="H12" s="120">
        <v>3</v>
      </c>
      <c r="I12" s="120">
        <f>J12/C12</f>
        <v>71.739130434782609</v>
      </c>
      <c r="J12" s="122">
        <f>C2-J13-J14</f>
        <v>330</v>
      </c>
    </row>
    <row r="13" spans="2:10">
      <c r="B13" s="115" t="s">
        <v>88</v>
      </c>
      <c r="C13" s="120">
        <v>1</v>
      </c>
      <c r="D13" s="121">
        <v>1.7</v>
      </c>
      <c r="E13" s="148">
        <v>0.7</v>
      </c>
      <c r="F13" s="149">
        <f t="shared" ref="F13:F14" si="0">D13-E13</f>
        <v>1</v>
      </c>
      <c r="G13" s="120">
        <f t="shared" ref="G13:G14" si="1">F13/C13</f>
        <v>1</v>
      </c>
      <c r="H13" s="120">
        <v>1</v>
      </c>
      <c r="I13" s="123">
        <f>F7</f>
        <v>210</v>
      </c>
      <c r="J13" s="122">
        <f>I13*C13</f>
        <v>210</v>
      </c>
    </row>
    <row r="14" spans="2:10" ht="16" thickBot="1">
      <c r="B14" s="116" t="s">
        <v>90</v>
      </c>
      <c r="C14" s="124">
        <v>3</v>
      </c>
      <c r="D14" s="125">
        <v>3.2</v>
      </c>
      <c r="E14" s="150">
        <v>1.5</v>
      </c>
      <c r="F14" s="151">
        <f t="shared" si="0"/>
        <v>1.7000000000000002</v>
      </c>
      <c r="G14" s="124">
        <f t="shared" si="1"/>
        <v>0.56666666666666676</v>
      </c>
      <c r="H14" s="124">
        <v>2</v>
      </c>
      <c r="I14" s="126">
        <f>F8</f>
        <v>300</v>
      </c>
      <c r="J14" s="127">
        <f>I14*C14</f>
        <v>900</v>
      </c>
    </row>
  </sheetData>
  <mergeCells count="1">
    <mergeCell ref="B1:J1"/>
  </mergeCells>
  <pageMargins left="0.2" right="0.2" top="0.75" bottom="0.75" header="0.3" footer="0.3"/>
  <pageSetup scale="120" orientation="landscape"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E18"/>
  <sheetViews>
    <sheetView showGridLines="0" tabSelected="1" topLeftCell="B1" zoomScale="133" zoomScaleNormal="100" zoomScaleSheetLayoutView="85" workbookViewId="0">
      <selection activeCell="E24" sqref="E24"/>
    </sheetView>
  </sheetViews>
  <sheetFormatPr baseColWidth="10" defaultColWidth="8.83203125" defaultRowHeight="15"/>
  <cols>
    <col min="1" max="1" width="5.33203125" customWidth="1"/>
    <col min="2" max="2" width="29" customWidth="1"/>
    <col min="3" max="4" width="17.5" customWidth="1"/>
    <col min="5" max="5" width="22.1640625" customWidth="1"/>
    <col min="6" max="6" width="7.83203125" customWidth="1"/>
    <col min="7" max="7" width="19.1640625" bestFit="1" customWidth="1"/>
    <col min="8" max="8" width="13.33203125" bestFit="1" customWidth="1"/>
    <col min="9" max="9" width="10.5" bestFit="1" customWidth="1"/>
    <col min="10" max="10" width="18" bestFit="1" customWidth="1"/>
  </cols>
  <sheetData>
    <row r="1" spans="2:5" ht="20" thickBot="1">
      <c r="B1" s="235" t="s">
        <v>110</v>
      </c>
      <c r="C1" s="236"/>
      <c r="D1" s="236"/>
      <c r="E1" s="237"/>
    </row>
    <row r="2" spans="2:5" ht="16" thickBot="1"/>
    <row r="3" spans="2:5">
      <c r="B3" s="138"/>
      <c r="C3" s="139" t="s">
        <v>97</v>
      </c>
      <c r="D3" s="139" t="s">
        <v>100</v>
      </c>
      <c r="E3" s="140" t="s">
        <v>28</v>
      </c>
    </row>
    <row r="4" spans="2:5">
      <c r="B4" s="134" t="s">
        <v>96</v>
      </c>
      <c r="C4" s="128">
        <v>875000</v>
      </c>
      <c r="D4" s="147">
        <v>420000</v>
      </c>
      <c r="E4" s="146">
        <f>D4*C4</f>
        <v>367500000000</v>
      </c>
    </row>
    <row r="5" spans="2:5">
      <c r="B5" s="134" t="s">
        <v>98</v>
      </c>
      <c r="C5" s="128">
        <v>78000</v>
      </c>
      <c r="D5" s="129"/>
      <c r="E5" s="130"/>
    </row>
    <row r="6" spans="2:5">
      <c r="B6" s="134" t="s">
        <v>99</v>
      </c>
      <c r="C6" s="128">
        <v>110000</v>
      </c>
      <c r="D6" s="129"/>
      <c r="E6" s="130"/>
    </row>
    <row r="7" spans="2:5" ht="16" thickBot="1">
      <c r="B7" s="135" t="s">
        <v>102</v>
      </c>
      <c r="C7" s="131">
        <f>C4+C5-C6</f>
        <v>843000</v>
      </c>
      <c r="D7" s="132"/>
      <c r="E7" s="133"/>
    </row>
    <row r="11" spans="2:5" ht="16" thickBot="1"/>
    <row r="12" spans="2:5">
      <c r="B12" s="141"/>
      <c r="C12" s="142" t="s">
        <v>97</v>
      </c>
      <c r="D12" s="142" t="s">
        <v>104</v>
      </c>
      <c r="E12" s="143" t="s">
        <v>103</v>
      </c>
    </row>
    <row r="13" spans="2:5">
      <c r="B13" s="136" t="s">
        <v>101</v>
      </c>
      <c r="C13" s="99">
        <f>C16+C14-C15</f>
        <v>1668000</v>
      </c>
      <c r="D13" s="145">
        <v>17500</v>
      </c>
      <c r="E13" s="144">
        <f>D13*C13</f>
        <v>29190000000</v>
      </c>
    </row>
    <row r="14" spans="2:5">
      <c r="B14" s="136" t="s">
        <v>98</v>
      </c>
      <c r="C14" s="99">
        <v>32000</v>
      </c>
      <c r="D14" s="99"/>
      <c r="E14" s="100"/>
    </row>
    <row r="15" spans="2:5">
      <c r="B15" s="136" t="s">
        <v>99</v>
      </c>
      <c r="C15" s="99">
        <v>50000</v>
      </c>
      <c r="D15" s="99"/>
      <c r="E15" s="100"/>
    </row>
    <row r="16" spans="2:5" ht="16" thickBot="1">
      <c r="B16" s="137" t="s">
        <v>102</v>
      </c>
      <c r="C16" s="103">
        <f>C7*2</f>
        <v>1686000</v>
      </c>
      <c r="D16" s="103"/>
      <c r="E16" s="104"/>
    </row>
    <row r="18" spans="2:5" ht="67.5" customHeight="1">
      <c r="B18" s="233" t="s">
        <v>105</v>
      </c>
      <c r="C18" s="233"/>
      <c r="D18" s="233"/>
      <c r="E18" s="233"/>
    </row>
  </sheetData>
  <mergeCells count="2">
    <mergeCell ref="B18:E18"/>
    <mergeCell ref="B1:E1"/>
  </mergeCells>
  <pageMargins left="0.7" right="0.7" top="0.75" bottom="0.75" header="0.3" footer="0.3"/>
  <pageSetup scale="120" orientation="landscape" cellComments="asDisplayed"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1</vt:lpstr>
      <vt:lpstr>2</vt:lpstr>
      <vt:lpstr>3</vt:lpstr>
      <vt:lpstr>4</vt:lpstr>
      <vt:lpstr>5</vt:lpstr>
      <vt:lpstr>6</vt:lpstr>
      <vt:lpstr>7</vt:lpstr>
      <vt:lpstr>8</vt:lpstr>
      <vt:lpstr>'8'!Print_Area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2025-08-27T21:40:18Z</dcterms:modified>
</cp:coreProperties>
</file>